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490" windowHeight="4590" activeTab="0"/>
  </bookViews>
  <sheets>
    <sheet name="Abfrage" sheetId="1" r:id="rId1"/>
    <sheet name="Grafiken" sheetId="2" r:id="rId2"/>
    <sheet name="2000" sheetId="3" r:id="rId3"/>
    <sheet name="2001" sheetId="4" r:id="rId4"/>
    <sheet name="2002" sheetId="5" r:id="rId5"/>
    <sheet name="2003" sheetId="6" r:id="rId6"/>
    <sheet name="2004" sheetId="7" r:id="rId7"/>
  </sheets>
  <definedNames>
    <definedName name="_xlnm.Print_Area" localSheetId="0">'Abfrage'!$A$1:$G$158</definedName>
    <definedName name="_xlnm.Print_Titles" localSheetId="2">'2000'!$A:$A</definedName>
    <definedName name="_xlnm.Print_Titles" localSheetId="3">'2001'!$A:$A</definedName>
    <definedName name="_xlnm.Print_Titles" localSheetId="4">'2002'!$A:$A</definedName>
    <definedName name="_xlnm.Print_Titles" localSheetId="5">'2003'!$A:$A</definedName>
    <definedName name="_xlnm.Print_Titles" localSheetId="6">'2004'!$A:$A</definedName>
    <definedName name="_xlnm.Print_Titles" localSheetId="0">'Abfrage'!$1:$3</definedName>
  </definedNames>
  <calcPr fullCalcOnLoad="1"/>
</workbook>
</file>

<file path=xl/sharedStrings.xml><?xml version="1.0" encoding="utf-8"?>
<sst xmlns="http://schemas.openxmlformats.org/spreadsheetml/2006/main" count="1030" uniqueCount="264">
  <si>
    <t>Bilten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</si>
  <si>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</si>
  <si>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</si>
  <si>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</si>
  <si>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</si>
  <si>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</si>
  <si>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</si>
  <si>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</si>
  <si>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</si>
  <si>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Linthal</t>
  </si>
  <si>
    <t>Matt</t>
  </si>
  <si>
    <t>Mitlödi</t>
  </si>
  <si>
    <t>Mühlehorn</t>
  </si>
  <si>
    <t>Näfels</t>
  </si>
  <si>
    <t>Netstal</t>
  </si>
  <si>
    <t>Nidfurn</t>
  </si>
  <si>
    <t>Niederurnen</t>
  </si>
  <si>
    <t>Obstalden</t>
  </si>
  <si>
    <t>Riedern</t>
  </si>
  <si>
    <t>Rüti</t>
  </si>
  <si>
    <t>Sool</t>
  </si>
  <si>
    <t>Schwanden</t>
  </si>
  <si>
    <t>Aufwand</t>
  </si>
  <si>
    <t>Ertrag</t>
  </si>
  <si>
    <t>Passivzinsen</t>
  </si>
  <si>
    <t>Vermögenserträge</t>
  </si>
  <si>
    <t>Finanzvermögen</t>
  </si>
  <si>
    <t>Verwaltungsvermögen</t>
  </si>
  <si>
    <t>Bilanzfehlbetrag</t>
  </si>
  <si>
    <t>Fremdkapital</t>
  </si>
  <si>
    <t>Eigenkapital</t>
  </si>
  <si>
    <t>Schwändi</t>
  </si>
  <si>
    <t>Braunwald</t>
  </si>
  <si>
    <t>Leuggelbach</t>
  </si>
  <si>
    <t>Luchsingen</t>
  </si>
  <si>
    <t>Mollis</t>
  </si>
  <si>
    <t>Oberurnen</t>
  </si>
  <si>
    <t>Absolute Steuerkraft</t>
  </si>
  <si>
    <t>Betschwanden</t>
  </si>
  <si>
    <t>SFG</t>
  </si>
  <si>
    <t>SFA</t>
  </si>
  <si>
    <t>ZBA</t>
  </si>
  <si>
    <t>KDA</t>
  </si>
  <si>
    <t>Zinsbelastungsanteil</t>
  </si>
  <si>
    <t>Kapitaldienstanteil</t>
  </si>
  <si>
    <t>Selbstfinanzierungsanteil</t>
  </si>
  <si>
    <t>Selbstfinanzierungsgrad</t>
  </si>
  <si>
    <t>Minimum</t>
  </si>
  <si>
    <t>Maximum</t>
  </si>
  <si>
    <t>Median</t>
  </si>
  <si>
    <t>Veränderung</t>
  </si>
  <si>
    <t>absolute Steuerkraft</t>
  </si>
  <si>
    <t>Steuerkraftindex</t>
  </si>
  <si>
    <t>mittlere Wohnbevölkerung</t>
  </si>
  <si>
    <t>ord. Abschreibungen Verw.vermögen</t>
  </si>
  <si>
    <t>zus. Abschreibungen Verw.vermögen</t>
  </si>
  <si>
    <t>Verpflichtungen Spezialfinanzierungen</t>
  </si>
  <si>
    <t>Mittelwert</t>
  </si>
  <si>
    <t>Steuerfuss</t>
  </si>
  <si>
    <t>alle Gemeinden</t>
  </si>
  <si>
    <t>Nettoinvestitionen</t>
  </si>
  <si>
    <t>Überschuss (+), Fehlbetrag (-)</t>
  </si>
  <si>
    <t>2. Laufende Rechnung</t>
  </si>
  <si>
    <t>3. Investitionsrechnung</t>
  </si>
  <si>
    <t>4. Bestandesrechnung</t>
  </si>
  <si>
    <t>5. Kennzahlen</t>
  </si>
  <si>
    <t>Mittlere Wohnbevölkerung</t>
  </si>
  <si>
    <t>2. Laufende Rechnung (Fortsetzung)</t>
  </si>
  <si>
    <t xml:space="preserve">relative Steuerkraft   </t>
  </si>
  <si>
    <t>bereinigter Selbstfinanzierungsanteil</t>
  </si>
  <si>
    <t>Summe</t>
  </si>
  <si>
    <t>1. Allgemeine Angaben (alle Jahr 2000)</t>
  </si>
  <si>
    <t>Mittlere Wohnbev. 1998</t>
  </si>
  <si>
    <t>Mittlere Wohnbev. 1999</t>
  </si>
  <si>
    <t>1. Allgemeine Angaben (alle Jahr 2001)</t>
  </si>
  <si>
    <t>Mittlere Wohnbev. 2000</t>
  </si>
  <si>
    <t>30 Perwsonalaufwand</t>
  </si>
  <si>
    <t>31 Sachaufwand</t>
  </si>
  <si>
    <t>32 Passivzinsen</t>
  </si>
  <si>
    <t>330 Abschreibungen Finanzvermögen</t>
  </si>
  <si>
    <t>331 ord. Abschreibungen Verwaltungsvermögen</t>
  </si>
  <si>
    <t>332 zusätzl. Abschreibungen Verwaltungsvermögen</t>
  </si>
  <si>
    <t>33 Total Abschreibungen</t>
  </si>
  <si>
    <t>34 Anteile und Beiträge ohne Zweckbindungen</t>
  </si>
  <si>
    <t>35 Entschäd.f.Dienstleist.anderer Gemeinwesen</t>
  </si>
  <si>
    <t>36 Betriebs- und Defizitbeiträge</t>
  </si>
  <si>
    <t>37 Durchlaufende Beiträge</t>
  </si>
  <si>
    <t>380 Einlagen in Spezialfinanzierungen</t>
  </si>
  <si>
    <t>381 Einlagen in Spezialfonds</t>
  </si>
  <si>
    <t>382 Einlagen in Verpfl.f.Vorfinanzierungen</t>
  </si>
  <si>
    <t>383 Einlagen in Verpfl.f.Sonderrechnungen</t>
  </si>
  <si>
    <t>384 Einlagen in Rückstellungen</t>
  </si>
  <si>
    <t>38 Einlagen in Spezi,Stifttungen,Rückstell.</t>
  </si>
  <si>
    <t>39 Interne Verrechnungen</t>
  </si>
  <si>
    <t>3 Total Aufwand LR</t>
  </si>
  <si>
    <t>400 Einkommens- und Vermögenssteuern</t>
  </si>
  <si>
    <t>401 Gewinn- und Kapitalsteuern</t>
  </si>
  <si>
    <t>403 Vermögenssteuern</t>
  </si>
  <si>
    <t>406 Besitz- und Aufwandsteuern</t>
  </si>
  <si>
    <t>40 Steuern</t>
  </si>
  <si>
    <t>41 Erträge aus Reglien und Konzessionen</t>
  </si>
  <si>
    <t>42 Vermögenserträge</t>
  </si>
  <si>
    <t>424 davon Buchgewinne Anlagen Finanzvermögen</t>
  </si>
  <si>
    <t>43 Entgelte</t>
  </si>
  <si>
    <t>44 Anteile u. Beiträge ohne Zweckbindung</t>
  </si>
  <si>
    <t>45 Rückerstattungen von Gemeinwesen</t>
  </si>
  <si>
    <t>46 Beiträge mit Zweckbindung</t>
  </si>
  <si>
    <t>47 Durchlaufende Beiträge</t>
  </si>
  <si>
    <t>480 Entnahmen aus Spezialfinanzierungen</t>
  </si>
  <si>
    <t>481 Entnahmen aus Spezialfonds</t>
  </si>
  <si>
    <t>482 Entnahmen aus Verpfl.f.Vorfinanzierungen</t>
  </si>
  <si>
    <t>483 Entnahmen aus Verpfl.f.Sonderrechnungen</t>
  </si>
  <si>
    <t>484 Entnahmen aus Rückstellungen</t>
  </si>
  <si>
    <t>48 Entnahmen aus Spezi,Stiftungen,Rückstell.</t>
  </si>
  <si>
    <t>49 Interne Verrechnungen</t>
  </si>
  <si>
    <t>4 Total Ertrag LR</t>
  </si>
  <si>
    <t>912 Ertragsüberschuss laufende Rechnung</t>
  </si>
  <si>
    <t>913 Aufwandüberschuss laufende Rechnung</t>
  </si>
  <si>
    <t>KONTROLLE</t>
  </si>
  <si>
    <t>50 Sachgüter</t>
  </si>
  <si>
    <t>52 Darlehen und Beteiligungen</t>
  </si>
  <si>
    <t>55 Einlagen in Spezialfonds</t>
  </si>
  <si>
    <t>56 Investitionsbeiträge</t>
  </si>
  <si>
    <t>57 Durchlaufende Beiträge</t>
  </si>
  <si>
    <t>58 Übrige zu aktivierende Ausgaben</t>
  </si>
  <si>
    <t>5 Total Ausgaben IR</t>
  </si>
  <si>
    <t>60 Abgang von Sachgütern</t>
  </si>
  <si>
    <t>61 Nutzungsabgaben u. Vorteilsentgelte</t>
  </si>
  <si>
    <t>62 Rückzlg.von Darlehen u.Beteiligungen</t>
  </si>
  <si>
    <t>63 Rückerstattungen für Sachgüter</t>
  </si>
  <si>
    <t>64 Rückzahlung von Investitionsbeiträgen</t>
  </si>
  <si>
    <t>66 Beiträge mit Zweckbindung</t>
  </si>
  <si>
    <t>65 Entnahmen aus Spezialfonds u.Vorzinanz.</t>
  </si>
  <si>
    <t>67 Durchlaufende Beiträge</t>
  </si>
  <si>
    <t>6 Total Einnahmen IR</t>
  </si>
  <si>
    <t>590 Passivierte Einnahmen</t>
  </si>
  <si>
    <t>592 Übertr.Einnahmenüberschuss in Lauf.Re.</t>
  </si>
  <si>
    <t>690 Aktivierte Ausgaben</t>
  </si>
  <si>
    <t>3. Investitionsrechnung (Fortsetzung)</t>
  </si>
  <si>
    <t>942-949 Aufwand Liegensch.im Finanzvermög.(Brutto)</t>
  </si>
  <si>
    <t>10 Finanzvermögen</t>
  </si>
  <si>
    <t>11 Verwaltungvermögen</t>
  </si>
  <si>
    <t>19 Bilanzvehlbetrag</t>
  </si>
  <si>
    <t>1 Aktiven</t>
  </si>
  <si>
    <t>20 Fremdkapital</t>
  </si>
  <si>
    <t>28 Verpflichtungen Spezialfinanzierungen</t>
  </si>
  <si>
    <t>18 Vorschüsse Spezialfinanzierungen</t>
  </si>
  <si>
    <t>29 Eigenkapital</t>
  </si>
  <si>
    <t>2 Passiven</t>
  </si>
  <si>
    <t>Selbstfinanzierung</t>
  </si>
  <si>
    <t>bereinigte Selbstfinanzierung</t>
  </si>
  <si>
    <t>Finanzertrag</t>
  </si>
  <si>
    <t>Nettozinsen</t>
  </si>
  <si>
    <t>Kapitaldienst</t>
  </si>
  <si>
    <t>Abschreibungssatz Verwaltungsvermögen</t>
  </si>
  <si>
    <t>Verschuldungsfaktor</t>
  </si>
  <si>
    <t>Abschreibungsbedarf f.ord.Abschreibung.</t>
  </si>
  <si>
    <t>Vorschüsse Spezialfinanzierungen</t>
  </si>
  <si>
    <t>TOTAL AKTIVEN</t>
  </si>
  <si>
    <t>TOTAL PASSIVEN</t>
  </si>
  <si>
    <t>Nettoschuld(-)/Nettovermögen(+)</t>
  </si>
  <si>
    <t>Nettoschuld(-) / Nettovermögen(+)</t>
  </si>
  <si>
    <t>Cash flow(+)/Cash loss(-)</t>
  </si>
  <si>
    <t>Cash flow(+) / Cash loss(-)</t>
  </si>
  <si>
    <t>Aufwand LR vor Abschreib u. Einl.Rückst.</t>
  </si>
  <si>
    <t>Ertrag LR vor Entnahme Rückst.</t>
  </si>
  <si>
    <t>Einlagen(-)/Entnahmen(+) Rückstellung.</t>
  </si>
  <si>
    <t>Einlagen(-) / Entnahmen(+) Rückstellungen</t>
  </si>
  <si>
    <t>Aufwandüberschuss(-) / Ertragsüberschuss(+)</t>
  </si>
  <si>
    <t>Aktivierte Ausgaben</t>
  </si>
  <si>
    <t>Passivierte Einnahmen</t>
  </si>
  <si>
    <t>Zunahme(+)/Abnahme(-)Nettoinvestit.</t>
  </si>
  <si>
    <t>Übertr.Einnahmenübersch.in lauf.Re.</t>
  </si>
  <si>
    <t>Zunahme(+) / Abnahem(-) Nettoinvestitionen</t>
  </si>
  <si>
    <t>Zunahme(-)/Abnahme(+)Nettoinvestit.</t>
  </si>
  <si>
    <t>Abschreibungen Verw.Vermögen</t>
  </si>
  <si>
    <t>Aufwand-(-)/Ertrags-(+) Überschuss</t>
  </si>
  <si>
    <t>Finanzier.-Fehlbetrag(-)/-Überschuss(+)</t>
  </si>
  <si>
    <t>Abschreibungen Verwaltungsvermögen</t>
  </si>
  <si>
    <t>Finanzierungs-Fehlbetrag(-)/-Überschuss(+)</t>
  </si>
  <si>
    <t xml:space="preserve">Passivierungen </t>
  </si>
  <si>
    <t>Passivierungen (Inves.Einn.u.Abschreibungen</t>
  </si>
  <si>
    <t>Aktivierungen</t>
  </si>
  <si>
    <t>Zunahme(+)/Abnahme(-) des Kapitals</t>
  </si>
  <si>
    <t>Zunahme(+) / Abnahme(-) des Kapitals</t>
  </si>
  <si>
    <t>Abschreibungssatz Verw.vermögen</t>
  </si>
  <si>
    <t>Abschreibungsbedarf f.ordentl.Abschr.</t>
  </si>
  <si>
    <t>Personalaufwand</t>
  </si>
  <si>
    <t>Abschreibungen Finanzvermögen</t>
  </si>
  <si>
    <t>Buchgewinne Anlagen Finanzvermögen</t>
  </si>
  <si>
    <t>Steuerertrag</t>
  </si>
  <si>
    <t>relative Staatssteuerkraft je Einwohner</t>
  </si>
  <si>
    <t>Index der relativen Steuerkraft</t>
  </si>
  <si>
    <t>Nettoschuld(-)/Nettovermög.(+)pro Kopf</t>
  </si>
  <si>
    <t>Nettozinsen pro Kopf</t>
  </si>
  <si>
    <t>Steuerertrag pro Kopf</t>
  </si>
  <si>
    <t>Nettoinvestitionen pro Kopf</t>
  </si>
  <si>
    <t>Finanz.Fehlbetrag(-)/Überschuss(+)p.K.</t>
  </si>
  <si>
    <t>Nettoschuld(-) / Nettovermögen(+) pro Kopf</t>
  </si>
  <si>
    <t>Finanz.Fehlbetrag(-) / -Überschuss(+) pro Kopf</t>
  </si>
  <si>
    <t>1. Allgemeine Angaben (alle Jahr 2002)</t>
  </si>
  <si>
    <t>1. Allgemeine Angaben (alle Jahr 2003)</t>
  </si>
  <si>
    <t>1. Allgemeine Angaben (alle Jahr 2004)</t>
  </si>
  <si>
    <t>BESTANDESRECHNUNG</t>
  </si>
  <si>
    <t>LAUFENDE RECHNUNG</t>
  </si>
  <si>
    <t>INVESTITIONSRECHNUNG</t>
  </si>
  <si>
    <t>FINANZIERUNG</t>
  </si>
  <si>
    <t>KAPITALVERÄNDERUNG</t>
  </si>
  <si>
    <t>FINANZKENNZAHLEN</t>
  </si>
  <si>
    <t>STEUERN</t>
  </si>
  <si>
    <t>STATISTISCHE ANGABEN</t>
  </si>
  <si>
    <t>PRO-KOPF-KENNZAHLEN</t>
  </si>
  <si>
    <t>Aufwand-(-)/Ertrags-(+)Überschuss LR</t>
  </si>
  <si>
    <t>Nettoschuld(-)/Nettovermögen</t>
  </si>
  <si>
    <t>405 (404) Erbschafts-u.Schnekungssteuern</t>
  </si>
  <si>
    <t>Auswahl der Schulgemeinde:</t>
  </si>
  <si>
    <t>Steuerfuss Schulgemeinde</t>
  </si>
  <si>
    <t>30 Personalaufwand</t>
  </si>
  <si>
    <t>Näfels-Berg</t>
  </si>
  <si>
    <t>Näfels inkl.Berg</t>
  </si>
  <si>
    <t>Glarus-Riedern</t>
  </si>
  <si>
    <t>Ha-Le-Ni</t>
  </si>
  <si>
    <t>Luchsingen-Hätzingen</t>
  </si>
  <si>
    <t>MÜHLEHORN</t>
  </si>
  <si>
    <t>OBSTALDEN</t>
  </si>
  <si>
    <t>FILZBACH</t>
  </si>
  <si>
    <t>NIEDERURNEN</t>
  </si>
  <si>
    <t>OBERURNEN</t>
  </si>
  <si>
    <t>NÄFELS</t>
  </si>
  <si>
    <t>NÄFELS-BERG</t>
  </si>
  <si>
    <t>MOLLIS</t>
  </si>
  <si>
    <t>NETSTAL</t>
  </si>
  <si>
    <t>GLARUS-RIEDERN</t>
  </si>
  <si>
    <t>ENNENDA</t>
  </si>
  <si>
    <t>MITLÖDI</t>
  </si>
  <si>
    <t>SOOL</t>
  </si>
  <si>
    <t>SCHWÄNDI</t>
  </si>
  <si>
    <t>SCHWANDEN</t>
  </si>
  <si>
    <t>HA-LE-NI</t>
  </si>
  <si>
    <t>LUCHSINGEN-HÄTZINGEN</t>
  </si>
  <si>
    <t>RÜTI</t>
  </si>
  <si>
    <t>BRAUNWALD</t>
  </si>
  <si>
    <t>LINTHAL</t>
  </si>
  <si>
    <t>ENGI</t>
  </si>
  <si>
    <t>MATT</t>
  </si>
  <si>
    <t>ELM</t>
  </si>
  <si>
    <t>Kindergartenkinder</t>
  </si>
  <si>
    <t>Schüler</t>
  </si>
  <si>
    <t>Lernende (Schüler)</t>
  </si>
  <si>
    <t>Total</t>
  </si>
  <si>
    <t>TOTAL</t>
  </si>
  <si>
    <t>bereinigter Selbstfinanzierungsgrad</t>
  </si>
  <si>
    <t>Engi o.Kreis</t>
  </si>
  <si>
    <t>Matt o.Kreis</t>
  </si>
  <si>
    <t>Elm o.Kreis</t>
  </si>
  <si>
    <t>Engi-Matt Kreis</t>
  </si>
  <si>
    <t>Oberstufe Sernftal</t>
  </si>
  <si>
    <t>Gegenseitig unterstützungspflichtiges Vermögen</t>
  </si>
  <si>
    <t>Gegenseitige Unterstützungspflicht</t>
  </si>
  <si>
    <t>KERENZERBERG</t>
  </si>
  <si>
    <t>UNTERLAND</t>
  </si>
  <si>
    <t>MITTELLAND</t>
  </si>
  <si>
    <t>SERNFTAL</t>
  </si>
  <si>
    <t>HINTERLAND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</si>
</sst>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####0"/>
    <numFmt numFmtId="165" formatCode="0.00_ ;[Red]\-0.00\ "/>
    <numFmt numFmtId="166" formatCode="#,##0.00_ ;[Red]\-#,##0.00\ "/>
    <numFmt numFmtId="167" formatCode="#,##0_ ;[Red]\-#,##0\ 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_ * #,##0.0_ ;_ * \-#,##0.0_ ;_ * &quot;-&quot;??_ ;_ @_ "/>
    <numFmt numFmtId="175" formatCode="_ * #,##0_ ;_ * \-#,##0_ ;_ * &quot;-&quot;??_ ;_ @_ "/>
    <numFmt numFmtId="176" formatCode="#,##0_ ;\-#,##0\ 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??_ ;_ @_ "/>
    <numFmt numFmtId="185" formatCode="#,##0.0"/>
    <numFmt numFmtId="186" formatCode="_ * #,##0.0000_ ;_ * \-#,##0.0000_ ;_ * &quot;-&quot;??_ ;_ @_ "/>
    <numFmt numFmtId="187" formatCode="_ * #,##0.000_ ;_ * \-#,##0.000_ ;_ * &quot;-&quot;_ ;_ @_ "/>
    <numFmt numFmtId="188" formatCode="_ * #,##0.0000_ ;_ * \-#,##0.0000_ ;_ * &quot;-&quot;_ ;_ @_ 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9.25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9.5"/>
      <name val="Arial"/>
      <family val="0"/>
    </font>
    <font>
      <b/>
      <sz val="9.75"/>
      <name val="Arial"/>
      <family val="2"/>
    </font>
    <font>
      <b/>
      <sz val="10"/>
      <name val="CG Omega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 horizontal="left"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0" fillId="0" borderId="0" xfId="17" applyNumberFormat="1" applyBorder="1" applyAlignment="1">
      <alignment/>
    </xf>
    <xf numFmtId="168" fontId="0" fillId="0" borderId="0" xfId="17" applyNumberFormat="1" applyAlignment="1">
      <alignment/>
    </xf>
    <xf numFmtId="0" fontId="1" fillId="0" borderId="0" xfId="0" applyFont="1" applyBorder="1" applyAlignment="1">
      <alignment horizontal="right"/>
    </xf>
    <xf numFmtId="175" fontId="0" fillId="0" borderId="0" xfId="15" applyNumberFormat="1" applyBorder="1" applyAlignment="1">
      <alignment/>
    </xf>
    <xf numFmtId="168" fontId="0" fillId="0" borderId="0" xfId="0" applyNumberFormat="1" applyAlignment="1">
      <alignment/>
    </xf>
    <xf numFmtId="175" fontId="0" fillId="0" borderId="0" xfId="15" applyNumberFormat="1" applyAlignment="1">
      <alignment/>
    </xf>
    <xf numFmtId="0" fontId="0" fillId="0" borderId="3" xfId="0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5" fontId="2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168" fontId="2" fillId="0" borderId="7" xfId="17" applyNumberFormat="1" applyFont="1" applyBorder="1" applyAlignment="1">
      <alignment/>
    </xf>
    <xf numFmtId="175" fontId="2" fillId="0" borderId="8" xfId="15" applyNumberFormat="1" applyFont="1" applyBorder="1" applyAlignment="1">
      <alignment/>
    </xf>
    <xf numFmtId="43" fontId="2" fillId="0" borderId="8" xfId="15" applyFont="1" applyBorder="1" applyAlignment="1">
      <alignment/>
    </xf>
    <xf numFmtId="168" fontId="2" fillId="0" borderId="9" xfId="17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" xfId="15" applyBorder="1" applyAlignment="1">
      <alignment horizontal="left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12" xfId="0" applyBorder="1" applyAlignment="1">
      <alignment horizontal="center" textRotation="90" wrapText="1"/>
    </xf>
    <xf numFmtId="3" fontId="0" fillId="0" borderId="1" xfId="0" applyNumberFormat="1" applyBorder="1" applyAlignment="1">
      <alignment horizontal="right"/>
    </xf>
    <xf numFmtId="41" fontId="0" fillId="1" borderId="1" xfId="0" applyNumberFormat="1" applyFill="1" applyBorder="1" applyAlignment="1">
      <alignment/>
    </xf>
    <xf numFmtId="43" fontId="0" fillId="1" borderId="1" xfId="15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164" fontId="0" fillId="0" borderId="14" xfId="0" applyNumberFormat="1" applyBorder="1" applyAlignment="1">
      <alignment/>
    </xf>
    <xf numFmtId="41" fontId="0" fillId="1" borderId="14" xfId="0" applyNumberFormat="1" applyFill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textRotation="90" wrapText="1"/>
    </xf>
    <xf numFmtId="164" fontId="0" fillId="1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1" fillId="0" borderId="20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0" fontId="0" fillId="2" borderId="0" xfId="0" applyFill="1" applyBorder="1" applyAlignment="1">
      <alignment/>
    </xf>
    <xf numFmtId="0" fontId="1" fillId="0" borderId="21" xfId="0" applyFont="1" applyBorder="1" applyAlignment="1">
      <alignment/>
    </xf>
    <xf numFmtId="168" fontId="0" fillId="0" borderId="1" xfId="17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175" fontId="2" fillId="0" borderId="0" xfId="15" applyNumberFormat="1" applyFont="1" applyBorder="1" applyAlignment="1">
      <alignment/>
    </xf>
    <xf numFmtId="43" fontId="0" fillId="0" borderId="1" xfId="15" applyBorder="1" applyAlignment="1">
      <alignment horizontal="left"/>
    </xf>
    <xf numFmtId="168" fontId="0" fillId="0" borderId="1" xfId="17" applyNumberFormat="1" applyBorder="1" applyAlignment="1">
      <alignment/>
    </xf>
    <xf numFmtId="168" fontId="0" fillId="0" borderId="22" xfId="17" applyNumberFormat="1" applyBorder="1" applyAlignment="1">
      <alignment/>
    </xf>
    <xf numFmtId="43" fontId="0" fillId="1" borderId="1" xfId="15" applyFill="1" applyBorder="1" applyAlignment="1">
      <alignment/>
    </xf>
    <xf numFmtId="168" fontId="0" fillId="1" borderId="22" xfId="17" applyNumberFormat="1" applyFill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68" fontId="0" fillId="0" borderId="23" xfId="17" applyNumberFormat="1" applyBorder="1" applyAlignment="1">
      <alignment/>
    </xf>
    <xf numFmtId="43" fontId="0" fillId="1" borderId="1" xfId="15" applyFont="1" applyFill="1" applyBorder="1" applyAlignment="1">
      <alignment/>
    </xf>
    <xf numFmtId="175" fontId="0" fillId="0" borderId="1" xfId="15" applyNumberFormat="1" applyBorder="1" applyAlignment="1">
      <alignment horizontal="right"/>
    </xf>
    <xf numFmtId="174" fontId="0" fillId="0" borderId="1" xfId="15" applyNumberFormat="1" applyBorder="1" applyAlignment="1">
      <alignment/>
    </xf>
    <xf numFmtId="175" fontId="0" fillId="0" borderId="1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ill="1" applyBorder="1" applyAlignment="1">
      <alignment/>
    </xf>
    <xf numFmtId="0" fontId="1" fillId="0" borderId="0" xfId="0" applyFont="1" applyBorder="1" applyAlignment="1">
      <alignment/>
    </xf>
    <xf numFmtId="175" fontId="0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75" fontId="0" fillId="3" borderId="3" xfId="15" applyNumberFormat="1" applyFill="1" applyBorder="1" applyAlignment="1">
      <alignment/>
    </xf>
    <xf numFmtId="168" fontId="0" fillId="3" borderId="3" xfId="17" applyNumberFormat="1" applyFill="1" applyBorder="1" applyAlignment="1">
      <alignment/>
    </xf>
    <xf numFmtId="0" fontId="1" fillId="3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75" fontId="0" fillId="4" borderId="3" xfId="15" applyNumberFormat="1" applyFill="1" applyBorder="1" applyAlignment="1">
      <alignment/>
    </xf>
    <xf numFmtId="168" fontId="0" fillId="4" borderId="3" xfId="17" applyNumberFormat="1" applyFill="1" applyBorder="1" applyAlignment="1">
      <alignment/>
    </xf>
    <xf numFmtId="9" fontId="2" fillId="0" borderId="3" xfId="17" applyFont="1" applyBorder="1" applyAlignment="1">
      <alignment/>
    </xf>
    <xf numFmtId="9" fontId="2" fillId="0" borderId="8" xfId="17" applyFont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175" fontId="0" fillId="5" borderId="3" xfId="15" applyNumberFormat="1" applyFill="1" applyBorder="1" applyAlignment="1">
      <alignment/>
    </xf>
    <xf numFmtId="168" fontId="0" fillId="5" borderId="3" xfId="17" applyNumberForma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175" fontId="0" fillId="6" borderId="3" xfId="15" applyNumberFormat="1" applyFill="1" applyBorder="1" applyAlignment="1">
      <alignment/>
    </xf>
    <xf numFmtId="168" fontId="0" fillId="6" borderId="3" xfId="17" applyNumberFormat="1" applyFill="1" applyBorder="1" applyAlignment="1">
      <alignment/>
    </xf>
    <xf numFmtId="0" fontId="1" fillId="6" borderId="3" xfId="15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175" fontId="0" fillId="7" borderId="3" xfId="15" applyNumberFormat="1" applyFill="1" applyBorder="1" applyAlignment="1">
      <alignment/>
    </xf>
    <xf numFmtId="168" fontId="0" fillId="7" borderId="3" xfId="17" applyNumberForma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3" xfId="15" applyNumberFormat="1" applyFont="1" applyFill="1" applyBorder="1" applyAlignment="1">
      <alignment/>
    </xf>
    <xf numFmtId="0" fontId="0" fillId="8" borderId="3" xfId="0" applyFill="1" applyBorder="1" applyAlignment="1">
      <alignment/>
    </xf>
    <xf numFmtId="175" fontId="0" fillId="8" borderId="3" xfId="15" applyNumberFormat="1" applyFill="1" applyBorder="1" applyAlignment="1">
      <alignment/>
    </xf>
    <xf numFmtId="168" fontId="0" fillId="8" borderId="3" xfId="17" applyNumberFormat="1" applyFill="1" applyBorder="1" applyAlignment="1">
      <alignment/>
    </xf>
    <xf numFmtId="174" fontId="0" fillId="8" borderId="3" xfId="15" applyNumberFormat="1" applyFill="1" applyBorder="1" applyAlignment="1">
      <alignment/>
    </xf>
    <xf numFmtId="184" fontId="0" fillId="0" borderId="0" xfId="0" applyNumberFormat="1" applyBorder="1" applyAlignment="1">
      <alignment/>
    </xf>
    <xf numFmtId="175" fontId="2" fillId="0" borderId="25" xfId="15" applyNumberFormat="1" applyFont="1" applyBorder="1" applyAlignment="1">
      <alignment/>
    </xf>
    <xf numFmtId="175" fontId="2" fillId="0" borderId="26" xfId="15" applyNumberFormat="1" applyFont="1" applyBorder="1" applyAlignment="1">
      <alignment/>
    </xf>
    <xf numFmtId="175" fontId="2" fillId="0" borderId="27" xfId="15" applyNumberFormat="1" applyFont="1" applyBorder="1" applyAlignment="1">
      <alignment/>
    </xf>
    <xf numFmtId="175" fontId="2" fillId="0" borderId="12" xfId="15" applyNumberFormat="1" applyFont="1" applyBorder="1" applyAlignment="1">
      <alignment/>
    </xf>
    <xf numFmtId="9" fontId="2" fillId="0" borderId="12" xfId="17" applyFont="1" applyBorder="1" applyAlignment="1">
      <alignment/>
    </xf>
    <xf numFmtId="168" fontId="2" fillId="0" borderId="28" xfId="17" applyNumberFormat="1" applyFont="1" applyBorder="1" applyAlignment="1">
      <alignment/>
    </xf>
    <xf numFmtId="175" fontId="2" fillId="0" borderId="10" xfId="15" applyNumberFormat="1" applyFont="1" applyBorder="1" applyAlignment="1">
      <alignment/>
    </xf>
    <xf numFmtId="175" fontId="2" fillId="0" borderId="11" xfId="15" applyNumberFormat="1" applyFont="1" applyBorder="1" applyAlignment="1">
      <alignment/>
    </xf>
    <xf numFmtId="0" fontId="0" fillId="0" borderId="24" xfId="0" applyBorder="1" applyAlignment="1">
      <alignment horizontal="center" textRotation="90" wrapText="1"/>
    </xf>
    <xf numFmtId="41" fontId="0" fillId="0" borderId="0" xfId="0" applyNumberFormat="1" applyBorder="1" applyAlignment="1">
      <alignment horizontal="left"/>
    </xf>
    <xf numFmtId="41" fontId="0" fillId="1" borderId="0" xfId="0" applyNumberFormat="1" applyFill="1" applyBorder="1" applyAlignment="1">
      <alignment/>
    </xf>
    <xf numFmtId="41" fontId="0" fillId="0" borderId="29" xfId="0" applyNumberFormat="1" applyBorder="1" applyAlignment="1">
      <alignment/>
    </xf>
    <xf numFmtId="0" fontId="0" fillId="0" borderId="27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41" fontId="0" fillId="0" borderId="18" xfId="0" applyNumberFormat="1" applyBorder="1" applyAlignment="1">
      <alignment/>
    </xf>
    <xf numFmtId="41" fontId="0" fillId="1" borderId="18" xfId="0" applyNumberFormat="1" applyFill="1" applyBorder="1" applyAlignment="1">
      <alignment/>
    </xf>
    <xf numFmtId="0" fontId="0" fillId="0" borderId="24" xfId="0" applyFont="1" applyBorder="1" applyAlignment="1">
      <alignment horizontal="center" textRotation="90" wrapText="1"/>
    </xf>
    <xf numFmtId="168" fontId="0" fillId="0" borderId="30" xfId="17" applyNumberFormat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164" fontId="11" fillId="0" borderId="0" xfId="0" applyNumberFormat="1" applyFont="1" applyBorder="1" applyAlignment="1">
      <alignment/>
    </xf>
    <xf numFmtId="41" fontId="0" fillId="9" borderId="18" xfId="0" applyNumberFormat="1" applyFill="1" applyBorder="1" applyAlignment="1">
      <alignment/>
    </xf>
    <xf numFmtId="175" fontId="0" fillId="1" borderId="1" xfId="15" applyNumberFormat="1" applyFill="1" applyBorder="1" applyAlignment="1">
      <alignment/>
    </xf>
    <xf numFmtId="175" fontId="0" fillId="0" borderId="2" xfId="15" applyNumberFormat="1" applyBorder="1" applyAlignment="1">
      <alignment/>
    </xf>
    <xf numFmtId="43" fontId="2" fillId="0" borderId="12" xfId="15" applyFont="1" applyBorder="1" applyAlignment="1">
      <alignment/>
    </xf>
    <xf numFmtId="168" fontId="0" fillId="1" borderId="1" xfId="17" applyNumberFormat="1" applyFill="1" applyBorder="1" applyAlignment="1">
      <alignment/>
    </xf>
    <xf numFmtId="168" fontId="0" fillId="0" borderId="1" xfId="17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1" fontId="0" fillId="0" borderId="18" xfId="0" applyNumberFormat="1" applyFill="1" applyBorder="1" applyAlignment="1">
      <alignment/>
    </xf>
    <xf numFmtId="175" fontId="0" fillId="0" borderId="18" xfId="0" applyNumberFormat="1" applyFill="1" applyBorder="1" applyAlignment="1">
      <alignment/>
    </xf>
    <xf numFmtId="43" fontId="0" fillId="1" borderId="18" xfId="0" applyNumberFormat="1" applyFill="1" applyBorder="1" applyAlignment="1">
      <alignment/>
    </xf>
    <xf numFmtId="43" fontId="0" fillId="0" borderId="0" xfId="15" applyFont="1" applyBorder="1" applyAlignment="1">
      <alignment/>
    </xf>
    <xf numFmtId="175" fontId="0" fillId="0" borderId="0" xfId="15" applyNumberFormat="1" applyFont="1" applyBorder="1" applyAlignment="1">
      <alignment/>
    </xf>
    <xf numFmtId="43" fontId="0" fillId="0" borderId="1" xfId="15" applyNumberFormat="1" applyFont="1" applyBorder="1" applyAlignment="1">
      <alignment/>
    </xf>
    <xf numFmtId="168" fontId="0" fillId="0" borderId="1" xfId="17" applyNumberFormat="1" applyBorder="1" applyAlignment="1">
      <alignment horizontal="right"/>
    </xf>
    <xf numFmtId="174" fontId="0" fillId="0" borderId="1" xfId="15" applyNumberFormat="1" applyBorder="1" applyAlignment="1">
      <alignment horizontal="right"/>
    </xf>
    <xf numFmtId="174" fontId="0" fillId="0" borderId="0" xfId="15" applyNumberFormat="1" applyBorder="1" applyAlignment="1">
      <alignment/>
    </xf>
    <xf numFmtId="3" fontId="0" fillId="0" borderId="1" xfId="17" applyNumberFormat="1" applyBorder="1" applyAlignment="1">
      <alignment/>
    </xf>
    <xf numFmtId="187" fontId="0" fillId="0" borderId="0" xfId="0" applyNumberFormat="1" applyBorder="1" applyAlignment="1">
      <alignment/>
    </xf>
    <xf numFmtId="183" fontId="0" fillId="0" borderId="1" xfId="0" applyNumberFormat="1" applyBorder="1" applyAlignment="1">
      <alignment/>
    </xf>
    <xf numFmtId="188" fontId="0" fillId="0" borderId="1" xfId="0" applyNumberFormat="1" applyBorder="1" applyAlignment="1">
      <alignment/>
    </xf>
    <xf numFmtId="183" fontId="0" fillId="0" borderId="14" xfId="0" applyNumberFormat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28"/>
          <c:w val="0.8332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Grafiken!$A$2</c:f>
              <c:strCache>
                <c:ptCount val="1"/>
                <c:pt idx="0">
                  <c:v>SFG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Grafiken!$B$2:$G$2</c:f>
              <c:numCache>
                <c:ptCount val="6"/>
                <c:pt idx="0">
                  <c:v>7.6894576364575675</c:v>
                </c:pt>
                <c:pt idx="1">
                  <c:v>1.7778048284931627</c:v>
                </c:pt>
                <c:pt idx="2">
                  <c:v>0.1948410760159773</c:v>
                </c:pt>
                <c:pt idx="3">
                  <c:v>0.48911594577847217</c:v>
                </c:pt>
                <c:pt idx="4">
                  <c:v>0</c:v>
                </c:pt>
                <c:pt idx="5">
                  <c:v>2.537804871686295</c:v>
                </c:pt>
              </c:numCache>
            </c:numRef>
          </c:val>
        </c:ser>
        <c:axId val="6830486"/>
        <c:axId val="61474375"/>
      </c:barChart>
      <c:lineChart>
        <c:grouping val="standard"/>
        <c:varyColors val="0"/>
        <c:ser>
          <c:idx val="1"/>
          <c:order val="1"/>
          <c:tx>
            <c:strRef>
              <c:f>Grafiken!$A$3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Grafiken!$B$1:$G$1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Grafiken!$B$3:$G$3</c:f>
              <c:numCache>
                <c:ptCount val="6"/>
                <c:pt idx="0">
                  <c:v>5.433780536939356</c:v>
                </c:pt>
                <c:pt idx="1">
                  <c:v>1.3443752820889499</c:v>
                </c:pt>
                <c:pt idx="2">
                  <c:v>1.6812164520696808</c:v>
                </c:pt>
                <c:pt idx="3">
                  <c:v>-0.5532155424516741</c:v>
                </c:pt>
                <c:pt idx="4">
                  <c:v>0</c:v>
                </c:pt>
                <c:pt idx="5">
                  <c:v>2.819790757032662</c:v>
                </c:pt>
              </c:numCache>
            </c:numRef>
          </c:val>
          <c:smooth val="0"/>
        </c:ser>
        <c:axId val="6830486"/>
        <c:axId val="61474375"/>
      </c:lineChart>
      <c:catAx>
        <c:axId val="6830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0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85"/>
          <c:y val="0.8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Selbstfinanzierungsanteil (SFA)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2525"/>
          <c:w val="0.75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Grafiken!$A$6</c:f>
              <c:strCache>
                <c:ptCount val="1"/>
                <c:pt idx="0">
                  <c:v>SFA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Grafiken!$B$6:$G$6</c:f>
              <c:numCache>
                <c:ptCount val="6"/>
                <c:pt idx="0">
                  <c:v>0.07183586597550994</c:v>
                </c:pt>
                <c:pt idx="1">
                  <c:v>0.06545832917911498</c:v>
                </c:pt>
                <c:pt idx="2">
                  <c:v>0.007043606621247503</c:v>
                </c:pt>
                <c:pt idx="3">
                  <c:v>0.037659949567201687</c:v>
                </c:pt>
                <c:pt idx="4">
                  <c:v>0</c:v>
                </c:pt>
                <c:pt idx="5">
                  <c:v>0.04549943783576853</c:v>
                </c:pt>
              </c:numCache>
            </c:numRef>
          </c:val>
        </c:ser>
        <c:axId val="16398464"/>
        <c:axId val="13368449"/>
      </c:barChart>
      <c:lineChart>
        <c:grouping val="standard"/>
        <c:varyColors val="0"/>
        <c:ser>
          <c:idx val="1"/>
          <c:order val="1"/>
          <c:tx>
            <c:strRef>
              <c:f>Grafiken!$A$7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Grafiken!$B$5:$G$5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Grafiken!$B$7:$G$7</c:f>
              <c:numCache>
                <c:ptCount val="6"/>
                <c:pt idx="0">
                  <c:v>0.03431958148891758</c:v>
                </c:pt>
                <c:pt idx="1">
                  <c:v>0.035809064818567535</c:v>
                </c:pt>
                <c:pt idx="2">
                  <c:v>-0.020896428446084248</c:v>
                </c:pt>
                <c:pt idx="3">
                  <c:v>-0.004771829171182696</c:v>
                </c:pt>
                <c:pt idx="4">
                  <c:v>0</c:v>
                </c:pt>
                <c:pt idx="5">
                  <c:v>0.01641073928713362</c:v>
                </c:pt>
              </c:numCache>
            </c:numRef>
          </c:val>
          <c:smooth val="0"/>
        </c:ser>
        <c:axId val="16398464"/>
        <c:axId val="13368449"/>
      </c:line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8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5"/>
          <c:y val="0.8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5575"/>
          <c:w val="0.83125"/>
          <c:h val="0.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Grafiken!$A$10</c:f>
              <c:strCache>
                <c:ptCount val="1"/>
                <c:pt idx="0">
                  <c:v>ZBA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Grafiken!$B$10:$G$10</c:f>
              <c:numCache>
                <c:ptCount val="6"/>
                <c:pt idx="0">
                  <c:v>0.034082110353023325</c:v>
                </c:pt>
                <c:pt idx="1">
                  <c:v>0.03172792322257005</c:v>
                </c:pt>
                <c:pt idx="2">
                  <c:v>0.0261206720615117</c:v>
                </c:pt>
                <c:pt idx="3">
                  <c:v>0.011607971465972707</c:v>
                </c:pt>
                <c:pt idx="4">
                  <c:v>0</c:v>
                </c:pt>
                <c:pt idx="5">
                  <c:v>0.02588466927576944</c:v>
                </c:pt>
              </c:numCache>
            </c:numRef>
          </c:val>
        </c:ser>
        <c:axId val="53207178"/>
        <c:axId val="9102555"/>
      </c:barChart>
      <c:lineChart>
        <c:grouping val="standard"/>
        <c:varyColors val="0"/>
        <c:ser>
          <c:idx val="1"/>
          <c:order val="1"/>
          <c:tx>
            <c:strRef>
              <c:f>Grafiken!$A$11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Grafiken!$B$9:$G$9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Grafiken!$B$11:$G$11</c:f>
              <c:numCache>
                <c:ptCount val="6"/>
                <c:pt idx="0">
                  <c:v>0.03010079183553944</c:v>
                </c:pt>
                <c:pt idx="1">
                  <c:v>0.023541191516112874</c:v>
                </c:pt>
                <c:pt idx="2">
                  <c:v>0.018154804358020516</c:v>
                </c:pt>
                <c:pt idx="3">
                  <c:v>0.012144632923593298</c:v>
                </c:pt>
                <c:pt idx="4">
                  <c:v>0</c:v>
                </c:pt>
                <c:pt idx="5">
                  <c:v>0.023932262569890946</c:v>
                </c:pt>
              </c:numCache>
            </c:numRef>
          </c:val>
          <c:smooth val="0"/>
        </c:ser>
        <c:axId val="53207178"/>
        <c:axId val="9102555"/>
      </c:line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02555"/>
        <c:crosses val="autoZero"/>
        <c:auto val="1"/>
        <c:lblOffset val="100"/>
        <c:noMultiLvlLbl val="0"/>
      </c:catAx>
      <c:valAx>
        <c:axId val="91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7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7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9"/>
          <c:y val="0.1665"/>
          <c:w val="0.669"/>
          <c:h val="0.5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Grafiken!$A$14</c:f>
              <c:strCache>
                <c:ptCount val="1"/>
                <c:pt idx="0">
                  <c:v>KDA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Grafiken!$B$14:$G$14</c:f>
              <c:numCache>
                <c:ptCount val="6"/>
                <c:pt idx="0">
                  <c:v>0.09965259606634558</c:v>
                </c:pt>
                <c:pt idx="1">
                  <c:v>0.10021024420152994</c:v>
                </c:pt>
                <c:pt idx="2">
                  <c:v>0.09992320489281123</c:v>
                </c:pt>
                <c:pt idx="3">
                  <c:v>0.07618265148258624</c:v>
                </c:pt>
                <c:pt idx="4">
                  <c:v>0</c:v>
                </c:pt>
                <c:pt idx="5">
                  <c:v>0.09399217416081825</c:v>
                </c:pt>
              </c:numCache>
            </c:numRef>
          </c:val>
        </c:ser>
        <c:axId val="14814132"/>
        <c:axId val="66218325"/>
      </c:barChart>
      <c:lineChart>
        <c:grouping val="standard"/>
        <c:varyColors val="0"/>
        <c:ser>
          <c:idx val="1"/>
          <c:order val="1"/>
          <c:tx>
            <c:strRef>
              <c:f>Grafiken!$A$15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Grafiken!$B$13:$G$13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Grafiken!$B$15:$G$15</c:f>
              <c:numCache>
                <c:ptCount val="6"/>
                <c:pt idx="0">
                  <c:v>0.11173111326531396</c:v>
                </c:pt>
                <c:pt idx="1">
                  <c:v>0.11132778101831611</c:v>
                </c:pt>
                <c:pt idx="2">
                  <c:v>0.13199430370668394</c:v>
                </c:pt>
                <c:pt idx="3">
                  <c:v>0.11129332076486764</c:v>
                </c:pt>
                <c:pt idx="4">
                  <c:v>0</c:v>
                </c:pt>
                <c:pt idx="5">
                  <c:v>0.11835106599677132</c:v>
                </c:pt>
              </c:numCache>
            </c:numRef>
          </c:val>
          <c:smooth val="0"/>
        </c:ser>
        <c:axId val="14814132"/>
        <c:axId val="66218325"/>
      </c:line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18325"/>
        <c:crosses val="autoZero"/>
        <c:auto val="1"/>
        <c:lblOffset val="100"/>
        <c:noMultiLvlLbl val="0"/>
      </c:catAx>
      <c:valAx>
        <c:axId val="66218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14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7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/>
      <c:spPr>
        <a:noFill/>
        <a:ln>
          <a:noFill/>
        </a:ln>
      </c:spPr>
    </c:title>
    <c:view3D>
      <c:rotX val="18"/>
      <c:rotY val="25"/>
      <c:depthPercent val="100"/>
      <c:rAngAx val="1"/>
    </c:view3D>
    <c:plotArea>
      <c:layout>
        <c:manualLayout>
          <c:xMode val="edge"/>
          <c:yMode val="edge"/>
          <c:x val="0.05925"/>
          <c:y val="0.2025"/>
          <c:w val="0.93675"/>
          <c:h val="0.4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Grafiken!$A$22</c:f>
              <c:strCache>
                <c:ptCount val="1"/>
                <c:pt idx="0">
                  <c:v>Nettoschuld(-)/Nettovermögen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Grafiken!$B$21:$F$21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Grafiken!$B$22:$F$22</c:f>
              <c:numCache>
                <c:ptCount val="5"/>
                <c:pt idx="0">
                  <c:v>-33907.41427999998</c:v>
                </c:pt>
                <c:pt idx="1">
                  <c:v>-34101.4665</c:v>
                </c:pt>
                <c:pt idx="2">
                  <c:v>-36300.4618</c:v>
                </c:pt>
                <c:pt idx="3">
                  <c:v>-35658.66595000001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9094014"/>
        <c:axId val="62084079"/>
      </c:bar3D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84079"/>
        <c:crosses val="autoZero"/>
        <c:auto val="1"/>
        <c:lblOffset val="100"/>
        <c:noMultiLvlLbl val="0"/>
      </c:catAx>
      <c:valAx>
        <c:axId val="6208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940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6837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"/>
          <c:y val="0.34425"/>
          <c:w val="0.76475"/>
          <c:h val="0.4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Grafiken!$A$18</c:f>
              <c:strCache>
                <c:ptCount val="1"/>
                <c:pt idx="0">
                  <c:v>Nettoinvestitionen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Grafiken!$B$18:$G$18</c:f>
              <c:numCache>
                <c:ptCount val="6"/>
                <c:pt idx="0">
                  <c:v>500.1848</c:v>
                </c:pt>
                <c:pt idx="1">
                  <c:v>1987.6656500000001</c:v>
                </c:pt>
                <c:pt idx="2">
                  <c:v>1905.35275</c:v>
                </c:pt>
                <c:pt idx="3">
                  <c:v>4368.327649999999</c:v>
                </c:pt>
                <c:pt idx="4">
                  <c:v>0</c:v>
                </c:pt>
                <c:pt idx="5">
                  <c:v>2190.3827125</c:v>
                </c:pt>
              </c:numCache>
            </c:numRef>
          </c:val>
        </c:ser>
        <c:ser>
          <c:idx val="1"/>
          <c:order val="1"/>
          <c:tx>
            <c:strRef>
              <c:f>Grafiken!$A$19</c:f>
              <c:strCache>
                <c:ptCount val="1"/>
                <c:pt idx="0">
                  <c:v>Überschuss (+), Fehlbetrag (-)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Mittelwert</c:v>
                </c:pt>
              </c:strCache>
            </c:strRef>
          </c:cat>
          <c:val>
            <c:numRef>
              <c:f>Grafiken!$B$19:$G$19</c:f>
              <c:numCache>
                <c:ptCount val="6"/>
                <c:pt idx="0">
                  <c:v>3345.9650299999985</c:v>
                </c:pt>
                <c:pt idx="1">
                  <c:v>1546.0158900000017</c:v>
                </c:pt>
                <c:pt idx="2">
                  <c:v>-1534.1118499999866</c:v>
                </c:pt>
                <c:pt idx="3">
                  <c:v>-2231.7089400000136</c:v>
                </c:pt>
                <c:pt idx="4">
                  <c:v>0</c:v>
                </c:pt>
                <c:pt idx="5">
                  <c:v>281.5400325</c:v>
                </c:pt>
              </c:numCache>
            </c:numRef>
          </c:val>
        </c:ser>
        <c:axId val="21885800"/>
        <c:axId val="62754473"/>
      </c:bar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54473"/>
        <c:crosses val="autoZero"/>
        <c:auto val="1"/>
        <c:lblOffset val="100"/>
        <c:noMultiLvlLbl val="0"/>
      </c:catAx>
      <c:valAx>
        <c:axId val="62754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85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108</xdr:row>
      <xdr:rowOff>66675</xdr:rowOff>
    </xdr:from>
    <xdr:to>
      <xdr:col>2</xdr:col>
      <xdr:colOff>447675</xdr:colOff>
      <xdr:row>124</xdr:row>
      <xdr:rowOff>95250</xdr:rowOff>
    </xdr:to>
    <xdr:graphicFrame>
      <xdr:nvGraphicFramePr>
        <xdr:cNvPr id="1" name="Chart 11"/>
        <xdr:cNvGraphicFramePr/>
      </xdr:nvGraphicFramePr>
      <xdr:xfrm>
        <a:off x="38100" y="20450175"/>
        <a:ext cx="3371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108</xdr:row>
      <xdr:rowOff>57150</xdr:rowOff>
    </xdr:from>
    <xdr:to>
      <xdr:col>7</xdr:col>
      <xdr:colOff>0</xdr:colOff>
      <xdr:row>124</xdr:row>
      <xdr:rowOff>85725</xdr:rowOff>
    </xdr:to>
    <xdr:graphicFrame>
      <xdr:nvGraphicFramePr>
        <xdr:cNvPr id="2" name="Chart 12"/>
        <xdr:cNvGraphicFramePr/>
      </xdr:nvGraphicFramePr>
      <xdr:xfrm>
        <a:off x="3486150" y="20440650"/>
        <a:ext cx="34671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125</xdr:row>
      <xdr:rowOff>0</xdr:rowOff>
    </xdr:from>
    <xdr:to>
      <xdr:col>2</xdr:col>
      <xdr:colOff>466725</xdr:colOff>
      <xdr:row>141</xdr:row>
      <xdr:rowOff>28575</xdr:rowOff>
    </xdr:to>
    <xdr:graphicFrame>
      <xdr:nvGraphicFramePr>
        <xdr:cNvPr id="3" name="Chart 13"/>
        <xdr:cNvGraphicFramePr/>
      </xdr:nvGraphicFramePr>
      <xdr:xfrm>
        <a:off x="47625" y="23136225"/>
        <a:ext cx="3381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125</xdr:row>
      <xdr:rowOff>19050</xdr:rowOff>
    </xdr:from>
    <xdr:to>
      <xdr:col>7</xdr:col>
      <xdr:colOff>0</xdr:colOff>
      <xdr:row>141</xdr:row>
      <xdr:rowOff>47625</xdr:rowOff>
    </xdr:to>
    <xdr:graphicFrame>
      <xdr:nvGraphicFramePr>
        <xdr:cNvPr id="4" name="Chart 14"/>
        <xdr:cNvGraphicFramePr/>
      </xdr:nvGraphicFramePr>
      <xdr:xfrm>
        <a:off x="3495675" y="23155275"/>
        <a:ext cx="34575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141</xdr:row>
      <xdr:rowOff>114300</xdr:rowOff>
    </xdr:from>
    <xdr:to>
      <xdr:col>7</xdr:col>
      <xdr:colOff>0</xdr:colOff>
      <xdr:row>157</xdr:row>
      <xdr:rowOff>142875</xdr:rowOff>
    </xdr:to>
    <xdr:graphicFrame>
      <xdr:nvGraphicFramePr>
        <xdr:cNvPr id="5" name="Chart 16"/>
        <xdr:cNvGraphicFramePr/>
      </xdr:nvGraphicFramePr>
      <xdr:xfrm>
        <a:off x="3495675" y="25841325"/>
        <a:ext cx="34575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158</xdr:row>
      <xdr:rowOff>38100</xdr:rowOff>
    </xdr:from>
    <xdr:to>
      <xdr:col>7</xdr:col>
      <xdr:colOff>0</xdr:colOff>
      <xdr:row>164</xdr:row>
      <xdr:rowOff>152400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6675" y="28517850"/>
          <a:ext cx="68865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141</xdr:row>
      <xdr:rowOff>114300</xdr:rowOff>
    </xdr:from>
    <xdr:to>
      <xdr:col>2</xdr:col>
      <xdr:colOff>476250</xdr:colOff>
      <xdr:row>158</xdr:row>
      <xdr:rowOff>0</xdr:rowOff>
    </xdr:to>
    <xdr:graphicFrame>
      <xdr:nvGraphicFramePr>
        <xdr:cNvPr id="7" name="Chart 20"/>
        <xdr:cNvGraphicFramePr/>
      </xdr:nvGraphicFramePr>
      <xdr:xfrm>
        <a:off x="66675" y="25841325"/>
        <a:ext cx="337185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8"/>
  <sheetViews>
    <sheetView tabSelected="1" zoomScale="120" zoomScaleNormal="120" workbookViewId="0" topLeftCell="A1">
      <selection activeCell="C78" sqref="C78"/>
    </sheetView>
  </sheetViews>
  <sheetFormatPr defaultColWidth="11.421875" defaultRowHeight="12.75"/>
  <cols>
    <col min="1" max="1" width="32.421875" style="0" customWidth="1"/>
    <col min="2" max="4" width="12.00390625" style="0" customWidth="1"/>
    <col min="5" max="5" width="11.57421875" style="0" customWidth="1"/>
    <col min="6" max="6" width="11.140625" style="0" customWidth="1"/>
    <col min="7" max="7" width="13.140625" style="0" customWidth="1"/>
    <col min="8" max="8" width="11.7109375" style="0" customWidth="1"/>
    <col min="9" max="9" width="3.00390625" style="0" customWidth="1"/>
    <col min="10" max="10" width="1.8515625" style="0" customWidth="1"/>
    <col min="11" max="11" width="1.7109375" style="0" customWidth="1"/>
    <col min="12" max="12" width="3.00390625" style="0" hidden="1" customWidth="1"/>
    <col min="13" max="13" width="14.57421875" style="0" customWidth="1"/>
    <col min="14" max="14" width="4.00390625" style="0" customWidth="1"/>
    <col min="15" max="15" width="3.28125" style="0" bestFit="1" customWidth="1"/>
  </cols>
  <sheetData>
    <row r="1" spans="1:16" ht="9" customHeight="1">
      <c r="A1" s="55"/>
      <c r="B1" s="55"/>
      <c r="C1" s="55"/>
      <c r="D1" s="55"/>
      <c r="E1" s="55"/>
      <c r="F1" s="55"/>
      <c r="G1" s="55"/>
      <c r="J1" s="9"/>
      <c r="K1" s="12"/>
      <c r="L1" s="10"/>
      <c r="M1" s="12" t="s">
        <v>38</v>
      </c>
      <c r="N1" s="10">
        <v>1</v>
      </c>
      <c r="O1" s="9">
        <v>35</v>
      </c>
      <c r="P1" t="str">
        <f>INDEX(M1:M36,O1)</f>
        <v>TOTAL</v>
      </c>
    </row>
    <row r="2" spans="1:15" ht="18">
      <c r="A2" s="78" t="s">
        <v>215</v>
      </c>
      <c r="B2" s="55"/>
      <c r="C2" s="55"/>
      <c r="D2" s="55"/>
      <c r="E2" s="55"/>
      <c r="F2" s="55"/>
      <c r="G2" s="55"/>
      <c r="J2" s="9"/>
      <c r="K2" s="11"/>
      <c r="L2" s="10"/>
      <c r="M2" s="11" t="s">
        <v>0</v>
      </c>
      <c r="N2" s="10">
        <v>2</v>
      </c>
      <c r="O2" s="9"/>
    </row>
    <row r="3" spans="1:15" ht="7.5" customHeight="1">
      <c r="A3" s="79"/>
      <c r="B3" s="79"/>
      <c r="C3" s="79"/>
      <c r="D3" s="79"/>
      <c r="E3" s="79"/>
      <c r="F3" s="79"/>
      <c r="G3" s="79"/>
      <c r="J3" s="9"/>
      <c r="K3" s="11"/>
      <c r="L3" s="10"/>
      <c r="M3" s="11" t="s">
        <v>241</v>
      </c>
      <c r="N3" s="10">
        <v>3</v>
      </c>
      <c r="O3" s="9"/>
    </row>
    <row r="4" spans="1:15" ht="21" customHeight="1">
      <c r="A4" s="91"/>
      <c r="B4" s="91"/>
      <c r="C4" s="91"/>
      <c r="D4" s="91"/>
      <c r="E4" s="91"/>
      <c r="F4" s="91"/>
      <c r="G4" s="91"/>
      <c r="J4" s="9"/>
      <c r="K4" s="11"/>
      <c r="L4" s="10"/>
      <c r="M4" s="11" t="s">
        <v>1</v>
      </c>
      <c r="N4" s="10">
        <v>4</v>
      </c>
      <c r="O4" s="9"/>
    </row>
    <row r="5" spans="1:15" ht="15" customHeight="1">
      <c r="A5" s="92" t="s">
        <v>203</v>
      </c>
      <c r="B5" s="92">
        <v>2000</v>
      </c>
      <c r="C5" s="92">
        <v>2001</v>
      </c>
      <c r="D5" s="92">
        <v>2002</v>
      </c>
      <c r="E5" s="92">
        <v>2003</v>
      </c>
      <c r="F5" s="92">
        <v>2004</v>
      </c>
      <c r="G5" s="93" t="s">
        <v>50</v>
      </c>
      <c r="H5" s="15"/>
      <c r="J5" s="9"/>
      <c r="K5" s="11"/>
      <c r="L5" s="10"/>
      <c r="M5" s="11" t="s">
        <v>245</v>
      </c>
      <c r="N5" s="10">
        <v>5</v>
      </c>
      <c r="O5" s="9"/>
    </row>
    <row r="6" spans="1:15" ht="15" customHeight="1">
      <c r="A6" s="94" t="s">
        <v>26</v>
      </c>
      <c r="B6" s="95">
        <f>SUMIF('2000'!$A$3:$A$51,$P$1,'2000'!$BT$3:$BT$51)</f>
        <v>39255765.69</v>
      </c>
      <c r="C6" s="95">
        <f>SUMIF('2001'!$A$3:$A$51,$P$1,'2001'!$BT$3:$BT$51)</f>
        <v>23822930.18</v>
      </c>
      <c r="D6" s="95">
        <f>SUMIF('2002'!$A$3:$A$51,$P$1,'2002'!$BT$3:$BT$51)</f>
        <v>25887308.279999997</v>
      </c>
      <c r="E6" s="95">
        <f>SUMIF('2003'!$A$3:$A$51,$P$1,'2003'!$BT$3:$BT$51)</f>
        <v>22363175.849999994</v>
      </c>
      <c r="F6" s="95" t="e">
        <f>SUMIF('2004'!$A$3:$A$51,$P$1,'2004'!$BT$3:$BT$51)</f>
        <v>#DIV/0!</v>
      </c>
      <c r="G6" s="96">
        <f>(E6-B6)/B6</f>
        <v>-0.43032124181195675</v>
      </c>
      <c r="H6" s="15"/>
      <c r="J6" s="9"/>
      <c r="K6" s="11"/>
      <c r="L6" s="10"/>
      <c r="M6" s="11" t="s">
        <v>243</v>
      </c>
      <c r="N6" s="10">
        <v>6</v>
      </c>
      <c r="O6" s="9"/>
    </row>
    <row r="7" spans="1:15" ht="15" customHeight="1">
      <c r="A7" s="94" t="s">
        <v>27</v>
      </c>
      <c r="B7" s="95">
        <f>SUMIF('2000'!$A$3:$A$51,$P$1,'2000'!$BU$3:$BU$51)</f>
        <v>35928679.69999999</v>
      </c>
      <c r="C7" s="95">
        <f>SUMIF('2001'!$A$3:$A$51,$P$1,'2001'!$BU$3:$BU$51)</f>
        <v>36405749.849999994</v>
      </c>
      <c r="D7" s="95">
        <f>SUMIF('2002'!$A$3:$A$51,$P$1,'2002'!$BU$3:$BU$51)</f>
        <v>36844408.25</v>
      </c>
      <c r="E7" s="95">
        <f>SUMIF('2003'!$A$3:$A$51,$P$1,'2003'!$BU$3:$BU$51)</f>
        <v>36405641.65</v>
      </c>
      <c r="F7" s="95" t="e">
        <f>SUMIF('2004'!$A$3:$A$51,$P$1,'2004'!$BU$3:$BU$51)</f>
        <v>#DIV/0!</v>
      </c>
      <c r="G7" s="96">
        <f aca="true" t="shared" si="0" ref="G7:G15">(E7-B7)/B7</f>
        <v>0.013275242897389591</v>
      </c>
      <c r="H7" s="15"/>
      <c r="J7" s="9"/>
      <c r="K7" s="11"/>
      <c r="L7" s="10"/>
      <c r="M7" s="11" t="s">
        <v>233</v>
      </c>
      <c r="N7" s="10">
        <v>7</v>
      </c>
      <c r="O7" s="9"/>
    </row>
    <row r="8" spans="1:15" ht="15" customHeight="1">
      <c r="A8" s="94" t="s">
        <v>157</v>
      </c>
      <c r="B8" s="95">
        <f>SUMIF('2000'!$A$3:$A$51,$P$1,'2000'!$BV$3:$BV$51)</f>
        <v>0</v>
      </c>
      <c r="C8" s="95">
        <f>SUMIF('2001'!$A$3:$A$51,$P$1,'2001'!$BV$3:$BV$51)</f>
        <v>0</v>
      </c>
      <c r="D8" s="95">
        <f>SUMIF('2002'!$A$3:$A$51,$P$1,'2002'!$BV$3:$BV$51)</f>
        <v>0</v>
      </c>
      <c r="E8" s="95">
        <f>SUMIF('2003'!$A$3:$A$51,$P$1,'2003'!$BV$3:$BV$51)</f>
        <v>0</v>
      </c>
      <c r="F8" s="95" t="e">
        <f>SUMIF('2004'!$A$3:$A$51,$P$1,'2004'!$BV$3:$BV$51)</f>
        <v>#DIV/0!</v>
      </c>
      <c r="G8" s="96" t="e">
        <f t="shared" si="0"/>
        <v>#DIV/0!</v>
      </c>
      <c r="H8" s="15"/>
      <c r="J8" s="9"/>
      <c r="K8" s="11"/>
      <c r="L8" s="10"/>
      <c r="M8" s="11" t="s">
        <v>225</v>
      </c>
      <c r="N8" s="10">
        <v>8</v>
      </c>
      <c r="O8" s="9"/>
    </row>
    <row r="9" spans="1:15" ht="15" customHeight="1">
      <c r="A9" s="94" t="s">
        <v>28</v>
      </c>
      <c r="B9" s="95">
        <f>SUMIF('2000'!$A$3:$A$51,$P$1,'2000'!$BW$3:$BW$51)</f>
        <v>2673872.9899999998</v>
      </c>
      <c r="C9" s="95">
        <f>SUMIF('2001'!$A$3:$A$51,$P$1,'2001'!$BW$3:$BW$51)</f>
        <v>2623156.26</v>
      </c>
      <c r="D9" s="95">
        <f>SUMIF('2002'!$A$3:$A$51,$P$1,'2002'!$BW$3:$BW$51)</f>
        <v>3246010.1900000004</v>
      </c>
      <c r="E9" s="95">
        <f>SUMIF('2003'!$A$3:$A$51,$P$1,'2003'!$BW$3:$BW$51)</f>
        <v>3159170.170000001</v>
      </c>
      <c r="F9" s="95" t="e">
        <f>SUMIF('2004'!$A$3:$A$51,$P$1,'2004'!$BW$3:$BW$51)</f>
        <v>#DIV/0!</v>
      </c>
      <c r="G9" s="96">
        <f>(E9-B9)/B9</f>
        <v>0.1814959730005729</v>
      </c>
      <c r="H9" s="15"/>
      <c r="J9" s="9"/>
      <c r="K9" s="11"/>
      <c r="L9" s="10"/>
      <c r="M9" s="11" t="s">
        <v>6</v>
      </c>
      <c r="N9" s="10">
        <v>9</v>
      </c>
      <c r="O9" s="9"/>
    </row>
    <row r="10" spans="1:15" ht="15" customHeight="1">
      <c r="A10" s="94" t="s">
        <v>158</v>
      </c>
      <c r="B10" s="95">
        <f>SUMIF('2000'!$A$3:$A$51,$P$1,'2000'!$BX$3:$BX$51)</f>
        <v>77858318.38000001</v>
      </c>
      <c r="C10" s="95">
        <f>SUMIF('2001'!$A$3:$A$51,$P$1,'2001'!$BX$3:$BX$51)</f>
        <v>62851836.29000001</v>
      </c>
      <c r="D10" s="95">
        <f>SUMIF('2002'!$A$3:$A$51,$P$1,'2002'!$BX$3:$BX$51)</f>
        <v>65977726.72</v>
      </c>
      <c r="E10" s="95">
        <f>SUMIF('2003'!$A$3:$A$51,$P$1,'2003'!$BX$3:$BX$51)</f>
        <v>61927987.669999994</v>
      </c>
      <c r="F10" s="95" t="e">
        <f>SUMIF('2004'!$A$3:$A$51,$P$1,'2004'!$BX$3:$BX$51)</f>
        <v>#DIV/0!</v>
      </c>
      <c r="G10" s="96">
        <f t="shared" si="0"/>
        <v>-0.20460666299327815</v>
      </c>
      <c r="H10" s="15"/>
      <c r="J10" s="9"/>
      <c r="K10" s="11"/>
      <c r="L10" s="10"/>
      <c r="M10" t="s">
        <v>232</v>
      </c>
      <c r="N10" s="10">
        <v>10</v>
      </c>
      <c r="O10" s="9"/>
    </row>
    <row r="11" spans="1:15" ht="15" customHeight="1">
      <c r="A11" s="94" t="s">
        <v>29</v>
      </c>
      <c r="B11" s="95">
        <f>SUMIF('2000'!$A$3:$A$51,$P$1,'2000'!$BY$3:$BY$51)</f>
        <v>73163179.96999998</v>
      </c>
      <c r="C11" s="95">
        <f>SUMIF('2001'!$A$3:$A$51,$P$1,'2001'!$BY$3:$BY$51)</f>
        <v>57924396.68</v>
      </c>
      <c r="D11" s="95">
        <f>SUMIF('2002'!$A$3:$A$51,$P$1,'2002'!$BY$3:$BY$51)</f>
        <v>62187770.07999999</v>
      </c>
      <c r="E11" s="95">
        <f>SUMIF('2003'!$A$3:$A$51,$P$1,'2003'!$BY$3:$BY$51)</f>
        <v>58021841.800000004</v>
      </c>
      <c r="F11" s="95" t="e">
        <f>SUMIF('2004'!$A$3:$A$51,$P$1,'2004'!$BY$3:$BY$51)</f>
        <v>#DIV/0!</v>
      </c>
      <c r="G11" s="96">
        <f t="shared" si="0"/>
        <v>-0.2069529806688087</v>
      </c>
      <c r="H11" s="15"/>
      <c r="J11" s="9"/>
      <c r="K11" s="11"/>
      <c r="L11" s="10"/>
      <c r="M11" t="s">
        <v>238</v>
      </c>
      <c r="N11" s="10">
        <v>11</v>
      </c>
      <c r="O11" s="9"/>
    </row>
    <row r="12" spans="1:15" ht="15" customHeight="1">
      <c r="A12" s="94" t="s">
        <v>56</v>
      </c>
      <c r="B12" s="95">
        <f>SUMIF('2000'!$A$3:$A$51,$P$1,'2000'!$BZ$3:$BZ$51)</f>
        <v>1273568.95</v>
      </c>
      <c r="C12" s="95">
        <f>SUMIF('2001'!$A$3:$A$51,$P$1,'2001'!$BZ$3:$BZ$51)</f>
        <v>1172122.85</v>
      </c>
      <c r="D12" s="95">
        <f>SUMIF('2002'!$A$3:$A$51,$P$1,'2002'!$BZ$3:$BZ$51)</f>
        <v>1160229.05</v>
      </c>
      <c r="E12" s="95">
        <f>SUMIF('2003'!$A$3:$A$51,$P$1,'2003'!$BZ$3:$BZ$51)</f>
        <v>1422524.2999999998</v>
      </c>
      <c r="F12" s="95" t="e">
        <f>SUMIF('2004'!$A$3:$A$51,$P$1,'2004'!$BZ$3:$BZ$51)</f>
        <v>#DIV/0!</v>
      </c>
      <c r="G12" s="96">
        <f t="shared" si="0"/>
        <v>0.11695899935374514</v>
      </c>
      <c r="H12" s="15"/>
      <c r="J12" s="9"/>
      <c r="K12" s="11"/>
      <c r="L12" s="10"/>
      <c r="M12" s="11" t="s">
        <v>7</v>
      </c>
      <c r="N12" s="10">
        <v>12</v>
      </c>
      <c r="O12" s="9"/>
    </row>
    <row r="13" spans="1:15" ht="15" customHeight="1">
      <c r="A13" s="94" t="s">
        <v>30</v>
      </c>
      <c r="B13" s="95">
        <f>SUMIF('2000'!$A$3:$A$51,$P$1,'2000'!$CA$3:$CA$51)</f>
        <v>3421569.4600000004</v>
      </c>
      <c r="C13" s="95">
        <f>SUMIF('2001'!$A$3:$A$51,$P$1,'2001'!$CA$3:$CA$51)</f>
        <v>3755316.76</v>
      </c>
      <c r="D13" s="95">
        <f>SUMIF('2002'!$A$3:$A$51,$P$1,'2002'!$CA$3:$CA$51)</f>
        <v>2629727.59</v>
      </c>
      <c r="E13" s="95">
        <f>SUMIF('2003'!$A$3:$A$51,$P$1,'2003'!$CA$3:$CA$51)</f>
        <v>2483621.5700000003</v>
      </c>
      <c r="F13" s="95" t="e">
        <f>SUMIF('2004'!$A$3:$A$51,$P$1,'2004'!$CA$3:$CA$51)</f>
        <v>#DIV/0!</v>
      </c>
      <c r="G13" s="96">
        <f t="shared" si="0"/>
        <v>-0.27412796991705674</v>
      </c>
      <c r="H13" s="15"/>
      <c r="J13" s="9"/>
      <c r="K13" s="11"/>
      <c r="L13" s="10"/>
      <c r="M13" s="11" t="s">
        <v>8</v>
      </c>
      <c r="N13" s="10">
        <v>13</v>
      </c>
      <c r="O13" s="9"/>
    </row>
    <row r="14" spans="1:15" ht="15" customHeight="1">
      <c r="A14" s="94" t="s">
        <v>159</v>
      </c>
      <c r="B14" s="95">
        <f>SUMIF('2000'!$A$3:$A$51,$P$1,'2000'!$CB$3:$CB$51)</f>
        <v>77858318.38000001</v>
      </c>
      <c r="C14" s="95">
        <f>SUMIF('2001'!$A$3:$A$51,$P$1,'2001'!$CB$3:$CB$51)</f>
        <v>62851836.29000001</v>
      </c>
      <c r="D14" s="95">
        <f>SUMIF('2002'!$A$3:$A$51,$P$1,'2002'!$CB$3:$CB$51)</f>
        <v>65977726.72</v>
      </c>
      <c r="E14" s="95">
        <f>SUMIF('2003'!$A$3:$A$51,$P$1,'2003'!$CB$3:$CB$51)</f>
        <v>61927987.669999994</v>
      </c>
      <c r="F14" s="95" t="e">
        <f>SUMIF('2004'!$A$3:$A$51,$P$1,'2004'!$CB$3:$CB$51)</f>
        <v>#DIV/0!</v>
      </c>
      <c r="G14" s="96">
        <f t="shared" si="0"/>
        <v>-0.20460666299327815</v>
      </c>
      <c r="H14" s="15"/>
      <c r="J14" s="9"/>
      <c r="K14" s="11"/>
      <c r="L14" s="10"/>
      <c r="M14" s="11" t="s">
        <v>33</v>
      </c>
      <c r="N14" s="10">
        <v>14</v>
      </c>
      <c r="O14" s="9"/>
    </row>
    <row r="15" spans="1:15" ht="15" customHeight="1">
      <c r="A15" s="94" t="s">
        <v>160</v>
      </c>
      <c r="B15" s="95">
        <f>SUMIF('2000'!$A$3:$A$51,$P$1,'2000'!$CS$3:$CS$51)</f>
        <v>-33907414.27999999</v>
      </c>
      <c r="C15" s="95">
        <f>SUMIF('2001'!$A$3:$A$51,$P$1,'2001'!$CS$3:$CS$51)</f>
        <v>-34101466.5</v>
      </c>
      <c r="D15" s="95">
        <f>SUMIF('2002'!$A$3:$A$51,$P$1,'2002'!$CS$3:$CS$51)</f>
        <v>-36300461.8</v>
      </c>
      <c r="E15" s="95">
        <f>SUMIF('2003'!$A$3:$A$51,$P$1,'2003'!$CS$3:$CS$51)</f>
        <v>-35658665.95000001</v>
      </c>
      <c r="F15" s="95" t="e">
        <f>SUMIF('2004'!$A$3:$A$51,$P$1,'2004'!$CS$3:$CS$51)</f>
        <v>#DIV/0!</v>
      </c>
      <c r="G15" s="96">
        <f t="shared" si="0"/>
        <v>0.05164804533718119</v>
      </c>
      <c r="H15" s="15"/>
      <c r="J15" s="9"/>
      <c r="K15" s="11"/>
      <c r="L15" s="10"/>
      <c r="M15" s="11" t="s">
        <v>242</v>
      </c>
      <c r="N15" s="10">
        <v>15</v>
      </c>
      <c r="O15" s="9"/>
    </row>
    <row r="16" spans="1:15" ht="15" customHeight="1">
      <c r="A16" s="59"/>
      <c r="B16" s="59"/>
      <c r="C16" s="59"/>
      <c r="D16" s="59"/>
      <c r="E16" s="59"/>
      <c r="F16" s="59"/>
      <c r="G16" s="59"/>
      <c r="H16" s="15"/>
      <c r="J16" s="9"/>
      <c r="K16" s="11"/>
      <c r="L16" s="10"/>
      <c r="M16" s="11" t="s">
        <v>34</v>
      </c>
      <c r="N16" s="10">
        <v>16</v>
      </c>
      <c r="O16" s="9"/>
    </row>
    <row r="17" spans="1:15" ht="15" customHeight="1">
      <c r="A17" s="97" t="s">
        <v>204</v>
      </c>
      <c r="B17" s="97">
        <f>B5</f>
        <v>2000</v>
      </c>
      <c r="C17" s="97">
        <f>C5</f>
        <v>2001</v>
      </c>
      <c r="D17" s="97">
        <f>D5</f>
        <v>2002</v>
      </c>
      <c r="E17" s="97">
        <f>E5</f>
        <v>2003</v>
      </c>
      <c r="F17" s="97">
        <f>F5</f>
        <v>2004</v>
      </c>
      <c r="G17" s="97" t="s">
        <v>50</v>
      </c>
      <c r="H17" s="13"/>
      <c r="J17" s="9"/>
      <c r="K17" s="11"/>
      <c r="L17" s="10"/>
      <c r="M17" t="s">
        <v>239</v>
      </c>
      <c r="N17" s="10">
        <v>17</v>
      </c>
      <c r="O17" s="9"/>
    </row>
    <row r="18" spans="1:15" ht="15" customHeight="1">
      <c r="A18" s="98" t="s">
        <v>22</v>
      </c>
      <c r="B18" s="99">
        <f>SUMIF('2000'!$A$3:$A$51,$P$1,'2000'!$CT$3:$CT$51)</f>
        <v>54679393.87</v>
      </c>
      <c r="C18" s="99">
        <f>SUMIF('2001'!$A$3:$A$51,$P$1,'2001'!$CT$3:$CT$51)</f>
        <v>55282286.43000001</v>
      </c>
      <c r="D18" s="99">
        <f>SUMIF('2002'!$A$3:$A$51,$P$1,'2002'!$CT$3:$CT$51)</f>
        <v>56697333.67999999</v>
      </c>
      <c r="E18" s="99">
        <f>SUMIF('2003'!$A$3:$A$51,$P$1,'2003'!$CT$3:$CT$51)</f>
        <v>58460538.64000001</v>
      </c>
      <c r="F18" s="99" t="e">
        <f>SUMIF('2004'!$A$3:$A$51,$P$1,'2004'!$CT$3:$CT$51)</f>
        <v>#DIV/0!</v>
      </c>
      <c r="G18" s="100">
        <f aca="true" t="shared" si="1" ref="G18:G25">(E18-B18)/B18</f>
        <v>0.06915118296646931</v>
      </c>
      <c r="H18" s="13"/>
      <c r="J18" s="9"/>
      <c r="K18" s="11"/>
      <c r="L18" s="10"/>
      <c r="M18" s="11" t="s">
        <v>244</v>
      </c>
      <c r="N18" s="10">
        <v>18</v>
      </c>
      <c r="O18" s="9"/>
    </row>
    <row r="19" spans="1:15" ht="15" customHeight="1">
      <c r="A19" s="98" t="s">
        <v>23</v>
      </c>
      <c r="B19" s="99">
        <f>SUMIF('2000'!$A$3:$A$51,$P$1,'2000'!$CU$3:$CU$51)</f>
        <v>58495543.699999996</v>
      </c>
      <c r="C19" s="99">
        <f>SUMIF('2001'!$A$3:$A$51,$P$1,'2001'!$CU$3:$CU$51)</f>
        <v>58837839.92000001</v>
      </c>
      <c r="D19" s="99">
        <f>SUMIF('2002'!$A$3:$A$51,$P$1,'2002'!$CU$3:$CU$51)</f>
        <v>57068574.580000006</v>
      </c>
      <c r="E19" s="99">
        <f>SUMIF('2003'!$A$3:$A$51,$P$1,'2003'!$CU$3:$CU$51)</f>
        <v>60597157.349999994</v>
      </c>
      <c r="F19" s="99" t="e">
        <f>SUMIF('2004'!$A$3:$A$51,$P$1,'2004'!$CU$3:$CU$51)</f>
        <v>#DIV/0!</v>
      </c>
      <c r="G19" s="100">
        <f t="shared" si="1"/>
        <v>0.03592775649335487</v>
      </c>
      <c r="H19" s="13"/>
      <c r="J19" s="9"/>
      <c r="K19" s="11"/>
      <c r="L19" s="10"/>
      <c r="M19" s="11" t="s">
        <v>234</v>
      </c>
      <c r="N19" s="10">
        <v>19</v>
      </c>
      <c r="O19" s="9"/>
    </row>
    <row r="20" spans="1:15" ht="15" customHeight="1">
      <c r="A20" s="98" t="s">
        <v>162</v>
      </c>
      <c r="B20" s="99">
        <f>SUMIF('2000'!$A$3:$A$51,$P$1,'2000'!$CV$3:$CV$51)</f>
        <v>3816149.829999998</v>
      </c>
      <c r="C20" s="99">
        <f>SUMIF('2001'!$A$3:$A$51,$P$1,'2001'!$CV$3:$CV$51)</f>
        <v>3555553.490000002</v>
      </c>
      <c r="D20" s="99">
        <f>SUMIF('2002'!$A$3:$A$51,$P$1,'2002'!$CV$3:$CV$51)</f>
        <v>371240.9000000134</v>
      </c>
      <c r="E20" s="99">
        <f>SUMIF('2003'!$A$3:$A$51,$P$1,'2003'!$CV$3:$CV$51)</f>
        <v>2136618.709999986</v>
      </c>
      <c r="F20" s="99" t="e">
        <f>SUMIF('2004'!$A$3:$A$51,$P$1,'2004'!$CV$3:$CV$51)</f>
        <v>#DIV/0!</v>
      </c>
      <c r="G20" s="100">
        <f t="shared" si="1"/>
        <v>-0.4401114198390929</v>
      </c>
      <c r="H20" s="13"/>
      <c r="J20" s="9"/>
      <c r="K20" s="11"/>
      <c r="L20" s="10"/>
      <c r="M20" s="11" t="s">
        <v>230</v>
      </c>
      <c r="N20" s="10">
        <v>20</v>
      </c>
      <c r="O20" s="9"/>
    </row>
    <row r="21" spans="1:15" ht="15" customHeight="1">
      <c r="A21" s="98" t="s">
        <v>166</v>
      </c>
      <c r="B21" s="99">
        <f>SUMIF('2000'!$A$3:$A$51,$P$1,'2000'!$CW$3:$CW$51)</f>
        <v>30000</v>
      </c>
      <c r="C21" s="99">
        <f>SUMIF('2001'!$A$3:$A$51,$P$1,'2001'!$CW$3:$CW$51)</f>
        <v>-21871.95</v>
      </c>
      <c r="D21" s="99">
        <f>SUMIF('2002'!$A$3:$A$51,$P$1,'2002'!$CW$3:$CW$51)</f>
        <v>0</v>
      </c>
      <c r="E21" s="99">
        <f>SUMIF('2003'!$A$3:$A$51,$P$1,'2003'!$CW$3:$CW$51)</f>
        <v>0</v>
      </c>
      <c r="F21" s="99" t="e">
        <f>SUMIF('2004'!$A$3:$A$51,$P$1,'2004'!$CW$3:$CW$51)</f>
        <v>#DIV/0!</v>
      </c>
      <c r="G21" s="100">
        <f t="shared" si="1"/>
        <v>-1</v>
      </c>
      <c r="H21" s="13"/>
      <c r="J21" s="9"/>
      <c r="K21" s="11"/>
      <c r="L21" s="10"/>
      <c r="M21" s="11" t="s">
        <v>223</v>
      </c>
      <c r="N21" s="10">
        <v>21</v>
      </c>
      <c r="O21" s="9"/>
    </row>
    <row r="22" spans="1:15" ht="15" customHeight="1">
      <c r="A22" s="98" t="s">
        <v>149</v>
      </c>
      <c r="B22" s="99">
        <f>SUMIF('2000'!$A$3:$A$51,$P$1,'2000'!$CX$3:$CX$51)</f>
        <v>3846149.829999998</v>
      </c>
      <c r="C22" s="99">
        <f>SUMIF('2001'!$A$3:$A$51,$P$1,'2001'!$CX$3:$CX$51)</f>
        <v>3533681.540000002</v>
      </c>
      <c r="D22" s="99">
        <f>SUMIF('2002'!$A$3:$A$51,$P$1,'2002'!$CX$3:$CX$51)</f>
        <v>371240.9000000134</v>
      </c>
      <c r="E22" s="99">
        <f>SUMIF('2003'!$A$3:$A$51,$P$1,'2003'!$CX$3:$CX$51)</f>
        <v>2136618.709999986</v>
      </c>
      <c r="F22" s="99" t="e">
        <f>SUMIF('2004'!$A$3:$A$51,$P$1,'2004'!$CX$3:$CX$51)</f>
        <v>#DIV/0!</v>
      </c>
      <c r="G22" s="100">
        <f t="shared" si="1"/>
        <v>-0.44447855532451086</v>
      </c>
      <c r="H22" s="13"/>
      <c r="J22" s="9"/>
      <c r="K22" s="11"/>
      <c r="L22" s="75"/>
      <c r="M22" t="s">
        <v>228</v>
      </c>
      <c r="N22" s="10">
        <v>22</v>
      </c>
      <c r="O22" s="9"/>
    </row>
    <row r="23" spans="1:15" ht="15" customHeight="1">
      <c r="A23" s="98" t="s">
        <v>54</v>
      </c>
      <c r="B23" s="99">
        <f>SUMIF('2000'!$A$3:$A$51,$P$1,'2000'!$K$3:$K$51)</f>
        <v>3510696.35</v>
      </c>
      <c r="C23" s="99">
        <f>SUMIF('2001'!$A$3:$A$51,$P$1,'2001'!$K$3:$K$51)</f>
        <v>3696927.8000000003</v>
      </c>
      <c r="D23" s="99">
        <f>SUMIF('2002'!$A$3:$A$51,$P$1,'2002'!$K$3:$K$51)</f>
        <v>3889843.100000001</v>
      </c>
      <c r="E23" s="99">
        <f>SUMIF('2003'!$A$3:$A$51,$P$1,'2003'!$K$3:$K$51)</f>
        <v>3663612.7</v>
      </c>
      <c r="F23" s="99" t="e">
        <f>SUMIF('2004'!$A$3:$A$51,$P$1,'2004'!$K$3:$K$51)</f>
        <v>#DIV/0!</v>
      </c>
      <c r="G23" s="100">
        <f t="shared" si="1"/>
        <v>0.04355727034039845</v>
      </c>
      <c r="H23" s="13"/>
      <c r="J23" s="9"/>
      <c r="K23" s="9"/>
      <c r="L23" s="75"/>
      <c r="M23" t="s">
        <v>229</v>
      </c>
      <c r="N23" s="10">
        <v>23</v>
      </c>
      <c r="O23" s="9"/>
    </row>
    <row r="24" spans="1:15" ht="15" customHeight="1">
      <c r="A24" s="98" t="s">
        <v>55</v>
      </c>
      <c r="B24" s="99">
        <f>SUMIF('2000'!$A$3:$A$51,$P$1,'2000'!$L$3:$L$51)</f>
        <v>743541.95</v>
      </c>
      <c r="C24" s="99">
        <f>SUMIF('2001'!$A$3:$A$51,$P$1,'2001'!$L$3:$L$51)</f>
        <v>1123817.2500000002</v>
      </c>
      <c r="D24" s="99">
        <f>SUMIF('2002'!$A$3:$A$51,$P$1,'2002'!$L$3:$L$51)</f>
        <v>220312.85</v>
      </c>
      <c r="E24" s="99">
        <f>SUMIF('2003'!$A$3:$A$51,$P$1,'2003'!$L$3:$L$51)</f>
        <v>1005232.05</v>
      </c>
      <c r="F24" s="99" t="e">
        <f>SUMIF('2004'!$A$3:$A$51,$P$1,'2004'!$L$3:$L$51)</f>
        <v>#DIV/0!</v>
      </c>
      <c r="G24" s="100">
        <f t="shared" si="1"/>
        <v>0.3519506868442327</v>
      </c>
      <c r="H24" s="13"/>
      <c r="J24" s="9"/>
      <c r="L24" s="2"/>
      <c r="M24" s="11" t="s">
        <v>219</v>
      </c>
      <c r="N24" s="10">
        <v>24</v>
      </c>
      <c r="O24" s="9"/>
    </row>
    <row r="25" spans="1:15" ht="15" customHeight="1">
      <c r="A25" s="98" t="s">
        <v>212</v>
      </c>
      <c r="B25" s="99">
        <f>SUMIF('2000'!$A$3:$A$51,$P$1,'2000'!$CY$3:$CY$51)</f>
        <v>-408088.47000000183</v>
      </c>
      <c r="C25" s="99">
        <f>SUMIF('2001'!$A$3:$A$51,$P$1,'2001'!$CY$3:$CY$51)</f>
        <v>-1287063.5099999986</v>
      </c>
      <c r="D25" s="99">
        <f>SUMIF('2002'!$A$3:$A$51,$P$1,'2002'!$CY$3:$CY$51)</f>
        <v>-3738915.0499999877</v>
      </c>
      <c r="E25" s="99">
        <f>SUMIF('2003'!$A$3:$A$51,$P$1,'2003'!$CY$3:$CY$51)</f>
        <v>-2532226.040000014</v>
      </c>
      <c r="F25" s="99" t="e">
        <f>SUMIF('2004'!$A$3:$A$51,$P$1,'2004'!$CY$3:$CY$51)</f>
        <v>#DIV/0!</v>
      </c>
      <c r="G25" s="100">
        <f t="shared" si="1"/>
        <v>5.2050908715945905</v>
      </c>
      <c r="H25" s="13"/>
      <c r="J25" s="9"/>
      <c r="L25" s="2"/>
      <c r="M25" s="11" t="s">
        <v>231</v>
      </c>
      <c r="N25" s="10">
        <v>25</v>
      </c>
      <c r="O25" s="9"/>
    </row>
    <row r="26" spans="1:15" ht="15" customHeight="1">
      <c r="A26" s="98"/>
      <c r="B26" s="99"/>
      <c r="C26" s="99"/>
      <c r="D26" s="99"/>
      <c r="E26" s="99"/>
      <c r="F26" s="99"/>
      <c r="G26" s="100"/>
      <c r="H26" s="13"/>
      <c r="J26" s="9"/>
      <c r="L26" s="2"/>
      <c r="M26" s="11" t="s">
        <v>15</v>
      </c>
      <c r="N26" s="10">
        <v>26</v>
      </c>
      <c r="O26" s="9"/>
    </row>
    <row r="27" spans="1:15" ht="15" customHeight="1">
      <c r="A27" s="97" t="s">
        <v>205</v>
      </c>
      <c r="B27" s="101">
        <f>B5</f>
        <v>2000</v>
      </c>
      <c r="C27" s="101">
        <f>C5</f>
        <v>2001</v>
      </c>
      <c r="D27" s="101">
        <f>D5</f>
        <v>2002</v>
      </c>
      <c r="E27" s="101">
        <f>E5</f>
        <v>2003</v>
      </c>
      <c r="F27" s="101">
        <f>F5</f>
        <v>2004</v>
      </c>
      <c r="G27" s="101" t="s">
        <v>57</v>
      </c>
      <c r="H27" s="13"/>
      <c r="J27" s="9"/>
      <c r="L27" s="2"/>
      <c r="M27" s="11" t="s">
        <v>226</v>
      </c>
      <c r="N27" s="10">
        <v>27</v>
      </c>
      <c r="O27" s="9"/>
    </row>
    <row r="28" spans="1:15" ht="15" customHeight="1">
      <c r="A28" s="98" t="s">
        <v>169</v>
      </c>
      <c r="B28" s="99">
        <f>SUMIF('2000'!$A$3:$A$51,$P$1,'2000'!$BR$3:$BR$51)</f>
        <v>582444.85</v>
      </c>
      <c r="C28" s="99">
        <f>SUMIF('2001'!$A$3:$A$51,$P$1,'2001'!$BR$3:$BR$51)</f>
        <v>2852135.85</v>
      </c>
      <c r="D28" s="99">
        <f>SUMIF('2002'!$A$3:$A$51,$P$1,'2002'!$BR$3:$BR$51)</f>
        <v>3023504.25</v>
      </c>
      <c r="E28" s="99">
        <f>SUMIF('2003'!$A$3:$A$51,$P$1,'2003'!$BR$3:$BR$51)</f>
        <v>5085373.6</v>
      </c>
      <c r="F28" s="99" t="e">
        <f>SUMIF('2004'!$A$3:$A$51,$P$1,'2004'!$BR$3:$BR$51)</f>
        <v>#DIV/0!</v>
      </c>
      <c r="G28" s="99">
        <f>AVERAGE(B28:E28)</f>
        <v>2885864.6375</v>
      </c>
      <c r="H28" s="13"/>
      <c r="J28" s="9"/>
      <c r="L28" s="2"/>
      <c r="M28" s="11" t="s">
        <v>227</v>
      </c>
      <c r="N28" s="10">
        <v>28</v>
      </c>
      <c r="O28" s="9"/>
    </row>
    <row r="29" spans="1:15" ht="15" customHeight="1">
      <c r="A29" s="98" t="s">
        <v>170</v>
      </c>
      <c r="B29" s="99">
        <f>SUMIF('2000'!$A$3:$A$51,$P$1,'2000'!$BP$3:$BP$51)</f>
        <v>82260.05</v>
      </c>
      <c r="C29" s="99">
        <f>SUMIF('2001'!$A$3:$A$51,$P$1,'2001'!$BP$3:$BP$51)</f>
        <v>864470.2</v>
      </c>
      <c r="D29" s="99">
        <f>SUMIF('2002'!$A$3:$A$51,$P$1,'2002'!$BP$3:$BP$51)</f>
        <v>1118151.5</v>
      </c>
      <c r="E29" s="99">
        <f>SUMIF('2003'!$A$3:$A$51,$P$1,'2003'!$BP$3:$BP$51)</f>
        <v>717045.95</v>
      </c>
      <c r="F29" s="99" t="e">
        <f>SUMIF('2004'!$A$3:$A$51,$P$1,'2004'!$BP$3:$BP$51)</f>
        <v>#DIV/0!</v>
      </c>
      <c r="G29" s="99">
        <f>AVERAGE(B29:E29)</f>
        <v>695481.925</v>
      </c>
      <c r="H29" s="13"/>
      <c r="J29" s="9"/>
      <c r="L29" s="2"/>
      <c r="M29" s="11" t="s">
        <v>224</v>
      </c>
      <c r="N29" s="10">
        <v>29</v>
      </c>
      <c r="O29" s="9"/>
    </row>
    <row r="30" spans="1:14" ht="15" customHeight="1">
      <c r="A30" s="98" t="s">
        <v>171</v>
      </c>
      <c r="B30" s="99">
        <f>SUMIF('2000'!$A$3:$A$51,$P$1,'2000'!$CZ$3:$CZ$51)</f>
        <v>500184.8</v>
      </c>
      <c r="C30" s="99">
        <f>SUMIF('2001'!$A$3:$A$51,$P$1,'2001'!$CZ$3:$CZ$51)</f>
        <v>1987665.6500000001</v>
      </c>
      <c r="D30" s="99">
        <f>SUMIF('2002'!$A$3:$A$51,$P$1,'2002'!$CZ$3:$CZ$51)</f>
        <v>1905352.75</v>
      </c>
      <c r="E30" s="99">
        <f>SUMIF('2003'!$A$3:$A$51,$P$1,'2003'!$CZ$3:$CZ$51)</f>
        <v>4368327.649999999</v>
      </c>
      <c r="F30" s="99" t="e">
        <f>SUMIF('2004'!$A$3:$A$51,$P$1,'2004'!$CZ$3:$CZ$51)</f>
        <v>#DIV/0!</v>
      </c>
      <c r="G30" s="99">
        <f>AVERAGE(B30:E30)</f>
        <v>2190382.7125</v>
      </c>
      <c r="H30" s="13"/>
      <c r="J30" s="9"/>
      <c r="L30" s="2"/>
      <c r="M30" s="11" t="s">
        <v>18</v>
      </c>
      <c r="N30" s="10">
        <v>30</v>
      </c>
    </row>
    <row r="31" spans="1:14" ht="15" customHeight="1">
      <c r="A31" s="98" t="s">
        <v>172</v>
      </c>
      <c r="B31" s="99">
        <f>SUMIF('2000'!$A$3:$A$51,$P$1,'2000'!$BQ$3:$BQ$51)</f>
        <v>0</v>
      </c>
      <c r="C31" s="99">
        <f>SUMIF('2001'!$A$3:$A$51,$P$1,'2001'!$BQ$3:$BQ$51)</f>
        <v>0</v>
      </c>
      <c r="D31" s="99">
        <f>SUMIF('2002'!$A$3:$A$51,$P$1,'2002'!$BQ$3:$BQ$51)</f>
        <v>0</v>
      </c>
      <c r="E31" s="99">
        <f>SUMIF('2003'!$A$3:$A$51,$P$1,'2003'!$BQ$3:$BQ$51)</f>
        <v>0</v>
      </c>
      <c r="F31" s="99" t="e">
        <f>SUMIF('2004'!$A$3:$A$51,$P$1,'2004'!$BQ$3:$BQ$51)</f>
        <v>#DIV/0!</v>
      </c>
      <c r="G31" s="99">
        <f>AVERAGE(B31:E31)</f>
        <v>0</v>
      </c>
      <c r="H31" s="13"/>
      <c r="J31" s="9"/>
      <c r="L31" s="2"/>
      <c r="M31" s="11" t="s">
        <v>240</v>
      </c>
      <c r="N31" s="10">
        <v>31</v>
      </c>
    </row>
    <row r="32" spans="1:14" ht="15" customHeight="1">
      <c r="A32" s="98"/>
      <c r="B32" s="99"/>
      <c r="C32" s="99"/>
      <c r="D32" s="99"/>
      <c r="E32" s="99"/>
      <c r="F32" s="99"/>
      <c r="G32" s="100"/>
      <c r="H32" s="13"/>
      <c r="J32" s="9"/>
      <c r="L32" s="2"/>
      <c r="M32" t="s">
        <v>237</v>
      </c>
      <c r="N32" s="10">
        <v>32</v>
      </c>
    </row>
    <row r="33" spans="1:14" ht="15" customHeight="1">
      <c r="A33" s="97" t="s">
        <v>206</v>
      </c>
      <c r="B33" s="101">
        <f>B5</f>
        <v>2000</v>
      </c>
      <c r="C33" s="101">
        <f>C5</f>
        <v>2001</v>
      </c>
      <c r="D33" s="101">
        <f>D5</f>
        <v>2002</v>
      </c>
      <c r="E33" s="101">
        <f>E5</f>
        <v>2003</v>
      </c>
      <c r="F33" s="101">
        <f>F5</f>
        <v>2004</v>
      </c>
      <c r="G33" s="101" t="s">
        <v>57</v>
      </c>
      <c r="H33" s="13"/>
      <c r="J33" s="9"/>
      <c r="L33" s="2"/>
      <c r="M33" s="11" t="s">
        <v>236</v>
      </c>
      <c r="N33" s="10">
        <v>33</v>
      </c>
    </row>
    <row r="34" spans="1:14" ht="15" customHeight="1">
      <c r="A34" s="98" t="s">
        <v>174</v>
      </c>
      <c r="B34" s="99">
        <f>-B30</f>
        <v>-500184.8</v>
      </c>
      <c r="C34" s="99">
        <f>-C30</f>
        <v>-1987665.6500000001</v>
      </c>
      <c r="D34" s="99">
        <f>-D30</f>
        <v>-1905352.75</v>
      </c>
      <c r="E34" s="99">
        <f>-E30</f>
        <v>-4368327.649999999</v>
      </c>
      <c r="F34" s="99" t="e">
        <f>-F30</f>
        <v>#DIV/0!</v>
      </c>
      <c r="G34" s="99">
        <f>AVERAGE(B34:E34)</f>
        <v>-2190382.7125</v>
      </c>
      <c r="H34" s="13"/>
      <c r="J34" s="9"/>
      <c r="L34" s="2"/>
      <c r="M34" t="s">
        <v>235</v>
      </c>
      <c r="N34" s="10">
        <v>34</v>
      </c>
    </row>
    <row r="35" spans="1:14" ht="15" customHeight="1">
      <c r="A35" s="98" t="s">
        <v>175</v>
      </c>
      <c r="B35" s="99">
        <f>SUMIF('2000'!$A$3:$A$51,$P$1,'2000'!$DA$3:$DA$51)</f>
        <v>4254238.3</v>
      </c>
      <c r="C35" s="99">
        <f>SUMIF('2001'!$A$3:$A$51,$P$1,'2001'!$DA$3:$DA$51)</f>
        <v>4820745.050000001</v>
      </c>
      <c r="D35" s="99">
        <f>SUMIF('2002'!$A$3:$A$51,$P$1,'2002'!$DA$3:$DA$51)</f>
        <v>4110155.950000001</v>
      </c>
      <c r="E35" s="99">
        <f>SUMIF('2003'!$A$3:$A$51,$P$1,'2003'!$DA$3:$DA$51)</f>
        <v>4668844.75</v>
      </c>
      <c r="F35" s="99" t="e">
        <f>SUMIF('2004'!$A$3:$A$51,$P$1,'2004'!$DA$3:$DA$51)</f>
        <v>#DIV/0!</v>
      </c>
      <c r="G35" s="99">
        <f>AVERAGE(B35:E35)</f>
        <v>4463496.012500001</v>
      </c>
      <c r="H35" s="13"/>
      <c r="J35" s="9"/>
      <c r="L35" s="2"/>
      <c r="M35" s="11" t="s">
        <v>250</v>
      </c>
      <c r="N35" s="10">
        <v>35</v>
      </c>
    </row>
    <row r="36" spans="1:14" ht="15" customHeight="1">
      <c r="A36" s="98" t="s">
        <v>176</v>
      </c>
      <c r="B36" s="99">
        <f>B25</f>
        <v>-408088.47000000183</v>
      </c>
      <c r="C36" s="99">
        <f>C25</f>
        <v>-1287063.5099999986</v>
      </c>
      <c r="D36" s="99">
        <f>D25</f>
        <v>-3738915.0499999877</v>
      </c>
      <c r="E36" s="99">
        <f>E25</f>
        <v>-2532226.040000014</v>
      </c>
      <c r="F36" s="99" t="e">
        <f>F25</f>
        <v>#DIV/0!</v>
      </c>
      <c r="G36" s="99">
        <f>AVERAGE(B36:E36)</f>
        <v>-1991573.2675000005</v>
      </c>
      <c r="H36" s="13"/>
      <c r="J36" s="9"/>
      <c r="L36" s="2"/>
      <c r="M36" s="11"/>
      <c r="N36" s="10"/>
    </row>
    <row r="37" spans="1:13" ht="15" customHeight="1">
      <c r="A37" s="98" t="s">
        <v>177</v>
      </c>
      <c r="B37" s="99">
        <f>SUMIF('2000'!$A$3:$A$51,$P$1,'2000'!$DB$3:$DB$51)</f>
        <v>3345965.0299999984</v>
      </c>
      <c r="C37" s="99">
        <f>SUMIF('2001'!$A$3:$A$51,$P$1,'2001'!$DB$3:$DB$51)</f>
        <v>1546015.8900000018</v>
      </c>
      <c r="D37" s="99">
        <f>SUMIF('2002'!$A$3:$A$51,$P$1,'2002'!$DB$3:$DB$51)</f>
        <v>-1534111.8499999866</v>
      </c>
      <c r="E37" s="99">
        <f>SUMIF('2003'!$A$3:$A$51,$P$1,'2003'!$DB$3:$DB$51)</f>
        <v>-2231708.9400000134</v>
      </c>
      <c r="F37" s="99" t="e">
        <f>SUMIF('2004'!$A$3:$A$51,$P$1,'2004'!$DB$3:$DB$51)</f>
        <v>#DIV/0!</v>
      </c>
      <c r="G37" s="99">
        <f>AVERAGE(B37:E37)</f>
        <v>281540.0325</v>
      </c>
      <c r="H37" s="13"/>
      <c r="J37" s="9"/>
      <c r="L37" s="2"/>
      <c r="M37" s="9"/>
    </row>
    <row r="38" spans="1:13" ht="15" customHeight="1">
      <c r="A38" s="98"/>
      <c r="B38" s="99"/>
      <c r="C38" s="99"/>
      <c r="D38" s="99"/>
      <c r="E38" s="99"/>
      <c r="F38" s="99"/>
      <c r="G38" s="100"/>
      <c r="H38" s="13"/>
      <c r="J38" s="9"/>
      <c r="L38" s="2"/>
      <c r="M38" s="9"/>
    </row>
    <row r="39" spans="1:13" ht="15" customHeight="1">
      <c r="A39" s="97" t="s">
        <v>207</v>
      </c>
      <c r="B39" s="101">
        <f>B5</f>
        <v>2000</v>
      </c>
      <c r="C39" s="101">
        <f>C5</f>
        <v>2001</v>
      </c>
      <c r="D39" s="101">
        <f>D5</f>
        <v>2002</v>
      </c>
      <c r="E39" s="101">
        <f>E5</f>
        <v>2003</v>
      </c>
      <c r="F39" s="101">
        <f>F5</f>
        <v>2004</v>
      </c>
      <c r="G39" s="101" t="s">
        <v>57</v>
      </c>
      <c r="H39" s="13"/>
      <c r="J39" s="9"/>
      <c r="L39" s="2"/>
      <c r="M39" s="9"/>
    </row>
    <row r="40" spans="1:13" ht="15" customHeight="1">
      <c r="A40" s="98" t="s">
        <v>177</v>
      </c>
      <c r="B40" s="99">
        <f>B37</f>
        <v>3345965.0299999984</v>
      </c>
      <c r="C40" s="99">
        <f>C37</f>
        <v>1546015.8900000018</v>
      </c>
      <c r="D40" s="99">
        <f>D37</f>
        <v>-1534111.8499999866</v>
      </c>
      <c r="E40" s="99">
        <f>E37</f>
        <v>-2231708.9400000134</v>
      </c>
      <c r="F40" s="99" t="e">
        <f>F37</f>
        <v>#DIV/0!</v>
      </c>
      <c r="G40" s="99">
        <f>AVERAGE(B40:E40)</f>
        <v>281540.0325</v>
      </c>
      <c r="H40" s="13"/>
      <c r="J40" s="9"/>
      <c r="L40" s="2"/>
      <c r="M40" s="9"/>
    </row>
    <row r="41" spans="1:13" ht="15" customHeight="1">
      <c r="A41" s="98" t="s">
        <v>180</v>
      </c>
      <c r="B41" s="99">
        <f>SUMIF('2000'!$A$3:$A$51,$P$1,'2000'!$DC$3:$DC$51)</f>
        <v>-4336498.35</v>
      </c>
      <c r="C41" s="99">
        <f>SUMIF('2001'!$A$3:$A$51,$P$1,'2001'!$DC$3:$DC$51)</f>
        <v>-5685215.250000001</v>
      </c>
      <c r="D41" s="99">
        <f>SUMIF('2002'!$A$3:$A$51,$P$1,'2002'!$DC$3:$DC$51)</f>
        <v>-5228307.450000001</v>
      </c>
      <c r="E41" s="99">
        <f>SUMIF('2003'!$A$3:$A$51,$P$1,'2003'!$DC$3:$DC$51)</f>
        <v>-5385890.7</v>
      </c>
      <c r="F41" s="99" t="e">
        <f>SUMIF('2004'!$A$3:$A$51,$P$1,'2004'!$DC$3:$DC$51)</f>
        <v>#DIV/0!</v>
      </c>
      <c r="G41" s="99">
        <f>AVERAGE(B41:E41)</f>
        <v>-5158977.937500001</v>
      </c>
      <c r="H41" s="13"/>
      <c r="J41" s="9"/>
      <c r="L41" s="2"/>
      <c r="M41" s="9"/>
    </row>
    <row r="42" spans="1:13" ht="15" customHeight="1">
      <c r="A42" s="98" t="s">
        <v>182</v>
      </c>
      <c r="B42" s="99">
        <f>B28</f>
        <v>582444.85</v>
      </c>
      <c r="C42" s="99">
        <f>C28</f>
        <v>2852135.85</v>
      </c>
      <c r="D42" s="99">
        <f>D28</f>
        <v>3023504.25</v>
      </c>
      <c r="E42" s="99">
        <f>E28</f>
        <v>5085373.6</v>
      </c>
      <c r="F42" s="99" t="e">
        <f>F28</f>
        <v>#DIV/0!</v>
      </c>
      <c r="G42" s="99">
        <f>AVERAGE(B42:E42)</f>
        <v>2885864.6375</v>
      </c>
      <c r="H42" s="13"/>
      <c r="J42" s="9"/>
      <c r="L42" s="2"/>
      <c r="M42" s="9"/>
    </row>
    <row r="43" spans="1:13" ht="15" customHeight="1">
      <c r="A43" s="98" t="s">
        <v>183</v>
      </c>
      <c r="B43" s="99">
        <f>SUMIF('2000'!$A$3:$A$51,$P$1,'2000'!$CY$3:$CY$51)</f>
        <v>-408088.47000000183</v>
      </c>
      <c r="C43" s="99">
        <f>SUMIF('2001'!$A$3:$A$51,$P$1,'2001'!$CY$3:$CY$51)</f>
        <v>-1287063.5099999986</v>
      </c>
      <c r="D43" s="99">
        <f>SUMIF('2002'!$A$3:$A$51,$P$1,'2002'!$CY$3:$CY$51)</f>
        <v>-3738915.0499999877</v>
      </c>
      <c r="E43" s="99">
        <f>SUMIF('2003'!$A$3:$A$51,$P$1,'2003'!$CY$3:$CY$51)</f>
        <v>-2532226.040000014</v>
      </c>
      <c r="F43" s="99" t="e">
        <f>SUMIF('2004'!$A$3:$A$51,$P$1,'2004'!$CY$3:$CY$51)</f>
        <v>#DIV/0!</v>
      </c>
      <c r="G43" s="99">
        <f>AVERAGE(B43:E43)</f>
        <v>-1991573.2675000005</v>
      </c>
      <c r="H43" s="13"/>
      <c r="J43" s="9"/>
      <c r="L43" s="2"/>
      <c r="M43" s="9"/>
    </row>
    <row r="44" spans="1:8" ht="15" customHeight="1">
      <c r="A44" s="59"/>
      <c r="B44" s="59"/>
      <c r="C44" s="59"/>
      <c r="D44" s="59"/>
      <c r="E44" s="59"/>
      <c r="F44" s="59"/>
      <c r="G44" s="59"/>
      <c r="H44" s="13"/>
    </row>
    <row r="45" spans="1:8" ht="15" customHeight="1">
      <c r="A45" s="59"/>
      <c r="B45" s="59"/>
      <c r="C45" s="59"/>
      <c r="D45" s="59"/>
      <c r="E45" s="59"/>
      <c r="F45" s="59"/>
      <c r="G45" s="59"/>
      <c r="H45" s="13"/>
    </row>
    <row r="46" spans="1:8" ht="15" customHeight="1">
      <c r="A46" s="59"/>
      <c r="B46" s="59"/>
      <c r="C46" s="59"/>
      <c r="D46" s="59"/>
      <c r="E46" s="59"/>
      <c r="F46" s="59"/>
      <c r="G46" s="59"/>
      <c r="H46" s="13"/>
    </row>
    <row r="47" spans="1:8" ht="15" customHeight="1">
      <c r="A47" s="59"/>
      <c r="B47" s="59"/>
      <c r="C47" s="59"/>
      <c r="D47" s="59"/>
      <c r="E47" s="59"/>
      <c r="F47" s="59"/>
      <c r="G47" s="59"/>
      <c r="H47" s="13"/>
    </row>
    <row r="48" spans="1:8" ht="15" customHeight="1">
      <c r="A48" s="59"/>
      <c r="B48" s="59"/>
      <c r="C48" s="59"/>
      <c r="D48" s="59"/>
      <c r="E48" s="59"/>
      <c r="F48" s="59"/>
      <c r="G48" s="59"/>
      <c r="H48" s="13"/>
    </row>
    <row r="49" spans="1:8" ht="15" customHeight="1">
      <c r="A49" s="59"/>
      <c r="B49" s="59"/>
      <c r="C49" s="59"/>
      <c r="D49" s="59"/>
      <c r="E49" s="59"/>
      <c r="F49" s="59"/>
      <c r="G49" s="59"/>
      <c r="H49" s="13"/>
    </row>
    <row r="50" spans="1:8" ht="15" customHeight="1">
      <c r="A50" s="59"/>
      <c r="B50" s="59"/>
      <c r="C50" s="59"/>
      <c r="D50" s="59"/>
      <c r="E50" s="59"/>
      <c r="F50" s="59"/>
      <c r="G50" s="59"/>
      <c r="H50" s="13"/>
    </row>
    <row r="51" spans="1:8" ht="15" customHeight="1">
      <c r="A51" s="59"/>
      <c r="B51" s="59"/>
      <c r="C51" s="59"/>
      <c r="D51" s="59"/>
      <c r="E51" s="59"/>
      <c r="F51" s="59"/>
      <c r="G51" s="59"/>
      <c r="H51" s="13"/>
    </row>
    <row r="52" spans="1:8" ht="15" customHeight="1">
      <c r="A52" s="59"/>
      <c r="B52" s="59"/>
      <c r="C52" s="59"/>
      <c r="D52" s="59"/>
      <c r="E52" s="59"/>
      <c r="F52" s="59"/>
      <c r="G52" s="59"/>
      <c r="H52" s="13"/>
    </row>
    <row r="53" spans="1:8" ht="15" customHeight="1">
      <c r="A53" s="59"/>
      <c r="B53" s="59"/>
      <c r="C53" s="59"/>
      <c r="D53" s="59"/>
      <c r="E53" s="59"/>
      <c r="F53" s="59"/>
      <c r="G53" s="59"/>
      <c r="H53" s="13"/>
    </row>
    <row r="54" spans="1:8" ht="15" customHeight="1">
      <c r="A54" s="59"/>
      <c r="B54" s="59"/>
      <c r="C54" s="59"/>
      <c r="D54" s="59"/>
      <c r="E54" s="59"/>
      <c r="F54" s="59"/>
      <c r="G54" s="59"/>
      <c r="H54" s="13"/>
    </row>
    <row r="55" spans="1:8" ht="15" customHeight="1">
      <c r="A55" s="59"/>
      <c r="B55" s="59"/>
      <c r="C55" s="59"/>
      <c r="D55" s="59"/>
      <c r="E55" s="59"/>
      <c r="F55" s="59"/>
      <c r="G55" s="59"/>
      <c r="H55" s="13"/>
    </row>
    <row r="56" spans="1:8" ht="15" customHeight="1">
      <c r="A56" s="59"/>
      <c r="B56" s="59"/>
      <c r="C56" s="59"/>
      <c r="D56" s="59"/>
      <c r="E56" s="59"/>
      <c r="F56" s="59"/>
      <c r="G56" s="59"/>
      <c r="H56" s="13"/>
    </row>
    <row r="57" spans="1:8" ht="15" customHeight="1">
      <c r="A57" s="59"/>
      <c r="B57" s="59"/>
      <c r="C57" s="59"/>
      <c r="D57" s="59"/>
      <c r="E57" s="59"/>
      <c r="F57" s="59"/>
      <c r="G57" s="59"/>
      <c r="H57" s="13"/>
    </row>
    <row r="58" spans="1:8" ht="15" customHeight="1">
      <c r="A58" s="59"/>
      <c r="B58" s="59"/>
      <c r="C58" s="59"/>
      <c r="D58" s="59"/>
      <c r="E58" s="59"/>
      <c r="F58" s="59"/>
      <c r="G58" s="59"/>
      <c r="H58" s="13"/>
    </row>
    <row r="59" spans="1:8" ht="15" customHeight="1">
      <c r="A59" s="59"/>
      <c r="B59" s="59"/>
      <c r="C59" s="59"/>
      <c r="D59" s="59"/>
      <c r="E59" s="59"/>
      <c r="F59" s="59"/>
      <c r="G59" s="59"/>
      <c r="H59" s="16"/>
    </row>
    <row r="60" spans="1:7" ht="15" customHeight="1">
      <c r="A60" s="59"/>
      <c r="B60" s="59"/>
      <c r="C60" s="59"/>
      <c r="D60" s="59"/>
      <c r="E60" s="59"/>
      <c r="F60" s="59"/>
      <c r="G60" s="59"/>
    </row>
    <row r="61" spans="1:8" ht="15" customHeight="1">
      <c r="A61" s="85" t="s">
        <v>208</v>
      </c>
      <c r="B61" s="85">
        <f>B5</f>
        <v>2000</v>
      </c>
      <c r="C61" s="85">
        <f>C5</f>
        <v>2001</v>
      </c>
      <c r="D61" s="85">
        <f>D5</f>
        <v>2002</v>
      </c>
      <c r="E61" s="85">
        <f>E5</f>
        <v>2003</v>
      </c>
      <c r="F61" s="85">
        <f>F5</f>
        <v>2004</v>
      </c>
      <c r="G61" s="102" t="s">
        <v>57</v>
      </c>
      <c r="H61" s="15"/>
    </row>
    <row r="62" spans="1:8" ht="15" customHeight="1">
      <c r="A62" s="86" t="s">
        <v>149</v>
      </c>
      <c r="B62" s="87">
        <f>SUMIF('2000'!$A$3:$A$51,$P$1,'2000'!$CD$3:$CD$51)</f>
        <v>3846149.830000001</v>
      </c>
      <c r="C62" s="87">
        <f>SUMIF('2001'!$A$3:$A$51,$P$1,'2001'!$CD$3:$CD$51)</f>
        <v>3533681.590000001</v>
      </c>
      <c r="D62" s="87">
        <f>SUMIF('2002'!$A$3:$A$51,$P$1,'2002'!$CD$3:$CD$51)</f>
        <v>371240.9800000014</v>
      </c>
      <c r="E62" s="87">
        <f>SUMIF('2003'!$A$3:$A$51,$P$1,'2003'!$CD$3:$CD$51)</f>
        <v>2136618.7100000004</v>
      </c>
      <c r="F62" s="87" t="e">
        <f>SUMIF('2004'!$A$3:$A$51,$P$1,'2004'!$CD$3:$CD$51)</f>
        <v>#DIV/0!</v>
      </c>
      <c r="G62" s="87">
        <f aca="true" t="shared" si="2" ref="G62:G80">AVERAGE(B62:E62)</f>
        <v>2471922.777500001</v>
      </c>
      <c r="H62" s="15"/>
    </row>
    <row r="63" spans="1:8" ht="15" customHeight="1">
      <c r="A63" s="86" t="s">
        <v>150</v>
      </c>
      <c r="B63" s="87">
        <f>SUMIF('2000'!$A$3:$A$51,$P$1,'2000'!$CE$3:$CE$51)</f>
        <v>4406425.73</v>
      </c>
      <c r="C63" s="87">
        <f>SUMIF('2001'!$A$3:$A$51,$P$1,'2001'!$CE$3:$CE$51)</f>
        <v>3854374.540000001</v>
      </c>
      <c r="D63" s="87">
        <f>SUMIF('2002'!$A$3:$A$51,$P$1,'2002'!$CE$3:$CE$51)</f>
        <v>239181.73000000135</v>
      </c>
      <c r="E63" s="87">
        <f>SUMIF('2003'!$A$3:$A$51,$P$1,'2003'!$CE$3:$CE$51)</f>
        <v>2213974.6100000003</v>
      </c>
      <c r="F63" s="87" t="e">
        <f>SUMIF('2004'!$A$3:$A$51,$P$1,'2004'!$CE$3:$CE$51)</f>
        <v>#DIV/0!</v>
      </c>
      <c r="G63" s="87">
        <f t="shared" si="2"/>
        <v>2678489.152500001</v>
      </c>
      <c r="H63" s="15"/>
    </row>
    <row r="64" spans="1:8" ht="15" customHeight="1">
      <c r="A64" s="86" t="s">
        <v>60</v>
      </c>
      <c r="B64" s="87">
        <f>SUMIF('2000'!$A$3:$A$51,$P$1,'2000'!$CF$3:$CF$51)</f>
        <v>500184.8</v>
      </c>
      <c r="C64" s="87">
        <f>SUMIF('2001'!$A$3:$A$51,$P$1,'2001'!$CF$3:$CF$51)</f>
        <v>1987665.6500000001</v>
      </c>
      <c r="D64" s="87">
        <f>SUMIF('2002'!$A$3:$A$51,$P$1,'2002'!$CF$3:$CF$51)</f>
        <v>1905352.75</v>
      </c>
      <c r="E64" s="87">
        <f>SUMIF('2003'!$A$3:$A$51,$P$1,'2003'!$CF$3:$CF$51)</f>
        <v>4368327.649999999</v>
      </c>
      <c r="F64" s="87" t="e">
        <f>SUMIF('2004'!$A$3:$A$51,$P$1,'2004'!$CF$3:$CF$51)</f>
        <v>#DIV/0!</v>
      </c>
      <c r="G64" s="87">
        <f t="shared" si="2"/>
        <v>2190382.7125</v>
      </c>
      <c r="H64" s="15"/>
    </row>
    <row r="65" spans="1:8" ht="15" customHeight="1">
      <c r="A65" s="86" t="s">
        <v>151</v>
      </c>
      <c r="B65" s="87">
        <f>SUMIF('2000'!$A$3:$A$51,$P$1,'2000'!$CG$3:$CG$51)</f>
        <v>53540801.349999994</v>
      </c>
      <c r="C65" s="87">
        <f>SUMIF('2001'!$A$3:$A$51,$P$1,'2001'!$CG$3:$CG$51)</f>
        <v>53983681.44000001</v>
      </c>
      <c r="D65" s="87">
        <f>SUMIF('2002'!$A$3:$A$51,$P$1,'2002'!$CG$3:$CG$51)</f>
        <v>52706092.2</v>
      </c>
      <c r="E65" s="87">
        <f>SUMIF('2003'!$A$3:$A$51,$P$1,'2003'!$CG$3:$CG$51)</f>
        <v>56734507.99999999</v>
      </c>
      <c r="F65" s="87" t="e">
        <f>SUMIF('2004'!$A$3:$A$51,$P$1,'2004'!$CG$3:$CG$51)</f>
        <v>#DIV/0!</v>
      </c>
      <c r="G65" s="87">
        <f t="shared" si="2"/>
        <v>54241270.7475</v>
      </c>
      <c r="H65" s="15"/>
    </row>
    <row r="66" spans="1:8" ht="15" customHeight="1">
      <c r="A66" s="86" t="s">
        <v>152</v>
      </c>
      <c r="B66" s="87">
        <f>SUMIF('2000'!$A$3:$A$51,$P$1,'2000'!$CH$3:$CH$51)</f>
        <v>1824783.5</v>
      </c>
      <c r="C66" s="87">
        <f>SUMIF('2001'!$A$3:$A$51,$P$1,'2001'!$CH$3:$CH$51)</f>
        <v>1712790.1</v>
      </c>
      <c r="D66" s="87">
        <f>SUMIF('2002'!$A$3:$A$51,$P$1,'2002'!$CH$3:$CH$51)</f>
        <v>1376718.5499999998</v>
      </c>
      <c r="E66" s="87">
        <f>SUMIF('2003'!$A$3:$A$51,$P$1,'2003'!$CH$3:$CH$51)</f>
        <v>658572.5500000002</v>
      </c>
      <c r="F66" s="87" t="e">
        <f>SUMIF('2004'!$A$3:$A$51,$P$1,'2004'!$CH$3:$CH$51)</f>
        <v>#DIV/0!</v>
      </c>
      <c r="G66" s="87">
        <f t="shared" si="2"/>
        <v>1393216.175</v>
      </c>
      <c r="H66" s="15"/>
    </row>
    <row r="67" spans="1:8" ht="15" customHeight="1">
      <c r="A67" s="86" t="s">
        <v>153</v>
      </c>
      <c r="B67" s="87">
        <f>SUMIF('2000'!$A$3:$A$51,$P$1,'2000'!$CI$3:$CI$51)</f>
        <v>5335479.85</v>
      </c>
      <c r="C67" s="87">
        <f>SUMIF('2001'!$A$3:$A$51,$P$1,'2001'!$CI$3:$CI$51)</f>
        <v>5409717.9</v>
      </c>
      <c r="D67" s="87">
        <f>SUMIF('2002'!$A$3:$A$51,$P$1,'2002'!$CI$3:$CI$51)</f>
        <v>5266561.65</v>
      </c>
      <c r="E67" s="87">
        <f>SUMIF('2003'!$A$3:$A$51,$P$1,'2003'!$CI$3:$CI$51)</f>
        <v>4322185.25</v>
      </c>
      <c r="F67" s="87" t="e">
        <f>SUMIF('2004'!$A$3:$A$51,$P$1,'2004'!$CI$3:$CI$51)</f>
        <v>#DIV/0!</v>
      </c>
      <c r="G67" s="87">
        <f t="shared" si="2"/>
        <v>5083486.1625</v>
      </c>
      <c r="H67" s="15"/>
    </row>
    <row r="68" spans="1:8" ht="15" customHeight="1">
      <c r="A68" s="86" t="s">
        <v>46</v>
      </c>
      <c r="B68" s="88">
        <f>SUMIF('2000'!$A$3:$A$51,$P$1,'2000'!$CJ$3:$CJ$51)</f>
        <v>7.6894576364575675</v>
      </c>
      <c r="C68" s="88">
        <f>SUMIF('2001'!$A$3:$A$51,$P$1,'2001'!$CJ$3:$CJ$51)</f>
        <v>1.7778048284931627</v>
      </c>
      <c r="D68" s="88">
        <f>SUMIF('2002'!$A$3:$A$51,$P$1,'2002'!$CJ$3:$CJ$51)</f>
        <v>0.1948410760159773</v>
      </c>
      <c r="E68" s="88">
        <f>SUMIF('2003'!$A$3:$A$51,$P$1,'2003'!$CJ$3:$CJ$51)</f>
        <v>0.48911594577847217</v>
      </c>
      <c r="F68" s="88" t="e">
        <f>SUMIF('2004'!$A$3:$A$51,$P$1,'2004'!$CJ$3:$CJ$51)</f>
        <v>#DIV/0!</v>
      </c>
      <c r="G68" s="88">
        <f t="shared" si="2"/>
        <v>2.537804871686295</v>
      </c>
      <c r="H68" s="15"/>
    </row>
    <row r="69" spans="1:8" ht="15" customHeight="1">
      <c r="A69" s="86" t="s">
        <v>251</v>
      </c>
      <c r="B69" s="88">
        <f>SUMIF('2000'!$A$3:$A$51,$P$1,'2000'!$CK$3:$CK$51)</f>
        <v>8.80959543352777</v>
      </c>
      <c r="C69" s="88">
        <f>SUMIF('2001'!$A$3:$A$51,$P$1,'2001'!$CK$3:$CK$51)</f>
        <v>1.9391463247352494</v>
      </c>
      <c r="D69" s="88">
        <f>SUMIF('2002'!$A$3:$A$51,$P$1,'2002'!$CK$3:$CK$51)</f>
        <v>0.12553146917283498</v>
      </c>
      <c r="E69" s="88">
        <f>SUMIF('2003'!$A$3:$A$51,$P$1,'2003'!$CK$3:$CK$51)</f>
        <v>0.5068243015150204</v>
      </c>
      <c r="F69" s="88" t="e">
        <f>SUMIF('2004'!$A$3:$A$51,$P$1,'2004'!$CK$3:$CK$51)</f>
        <v>#DIV/0!</v>
      </c>
      <c r="G69" s="88">
        <f t="shared" si="2"/>
        <v>2.8452743822377187</v>
      </c>
      <c r="H69" s="15"/>
    </row>
    <row r="70" spans="1:8" ht="15" customHeight="1">
      <c r="A70" s="86" t="s">
        <v>45</v>
      </c>
      <c r="B70" s="88">
        <f>SUMIF('2000'!$A$3:$A$51,$P$1,'2000'!$CL$3:$CL$51)</f>
        <v>0.07183586597550994</v>
      </c>
      <c r="C70" s="88">
        <f>SUMIF('2001'!$A$3:$A$51,$P$1,'2001'!$CL$3:$CL$51)</f>
        <v>0.06545832917911498</v>
      </c>
      <c r="D70" s="88">
        <f>SUMIF('2002'!$A$3:$A$51,$P$1,'2002'!$CL$3:$CL$51)</f>
        <v>0.007043606621247503</v>
      </c>
      <c r="E70" s="88">
        <f>SUMIF('2003'!$A$3:$A$51,$P$1,'2003'!$CL$3:$CL$51)</f>
        <v>0.037659949567201687</v>
      </c>
      <c r="F70" s="88" t="e">
        <f>SUMIF('2004'!$A$3:$A$51,$P$1,'2004'!$CL$3:$CL$51)</f>
        <v>#DIV/0!</v>
      </c>
      <c r="G70" s="88">
        <f t="shared" si="2"/>
        <v>0.04549943783576853</v>
      </c>
      <c r="H70" s="15"/>
    </row>
    <row r="71" spans="1:8" ht="15" customHeight="1">
      <c r="A71" s="86" t="s">
        <v>69</v>
      </c>
      <c r="B71" s="88">
        <f>SUMIF('2000'!$A$3:$A$51,$P$1,'2000'!$CM$3:$CM$51)</f>
        <v>0.08230033206254954</v>
      </c>
      <c r="C71" s="88">
        <f>SUMIF('2001'!$A$3:$A$51,$P$1,'2001'!$CM$3:$CM$51)</f>
        <v>0.07139888272132631</v>
      </c>
      <c r="D71" s="88">
        <f>SUMIF('2002'!$A$3:$A$51,$P$1,'2002'!$CM$3:$CM$51)</f>
        <v>0.004538028148480364</v>
      </c>
      <c r="E71" s="88">
        <f>SUMIF('2003'!$A$3:$A$51,$P$1,'2003'!$CM$3:$CM$51)</f>
        <v>0.0390234213364466</v>
      </c>
      <c r="F71" s="88" t="e">
        <f>SUMIF('2004'!$A$3:$A$51,$P$1,'2004'!$CM$3:$CM$51)</f>
        <v>#DIV/0!</v>
      </c>
      <c r="G71" s="88">
        <f t="shared" si="2"/>
        <v>0.049315166067200704</v>
      </c>
      <c r="H71" s="15"/>
    </row>
    <row r="72" spans="1:8" ht="15" customHeight="1">
      <c r="A72" s="86" t="s">
        <v>43</v>
      </c>
      <c r="B72" s="88">
        <f>SUMIF('2000'!$A$3:$A$51,$P$1,'2000'!$CN$3:$CN$51)</f>
        <v>0.034082110353023325</v>
      </c>
      <c r="C72" s="88">
        <f>SUMIF('2001'!$A$3:$A$51,$P$1,'2001'!$CN$3:$CN$51)</f>
        <v>0.03172792322257005</v>
      </c>
      <c r="D72" s="88">
        <f>SUMIF('2002'!$A$3:$A$51,$P$1,'2002'!$CN$3:$CN$51)</f>
        <v>0.0261206720615117</v>
      </c>
      <c r="E72" s="88">
        <f>SUMIF('2003'!$A$3:$A$51,$P$1,'2003'!$CN$3:$CN$51)</f>
        <v>0.011607971465972707</v>
      </c>
      <c r="F72" s="88" t="e">
        <f>SUMIF('2004'!$A$3:$A$51,$P$1,'2004'!$CN$3:$CN$51)</f>
        <v>#DIV/0!</v>
      </c>
      <c r="G72" s="88">
        <f t="shared" si="2"/>
        <v>0.02588466927576944</v>
      </c>
      <c r="H72" s="15"/>
    </row>
    <row r="73" spans="1:8" ht="15" customHeight="1">
      <c r="A73" s="86" t="s">
        <v>44</v>
      </c>
      <c r="B73" s="88">
        <f>SUMIF('2000'!$A$3:$A$51,$P$1,'2000'!$CO$3:$CO$51)</f>
        <v>0.09965259606634558</v>
      </c>
      <c r="C73" s="88">
        <f>SUMIF('2001'!$A$3:$A$51,$P$1,'2001'!$CO$3:$CO$51)</f>
        <v>0.10021024420152994</v>
      </c>
      <c r="D73" s="88">
        <f>SUMIF('2002'!$A$3:$A$51,$P$1,'2002'!$CO$3:$CO$51)</f>
        <v>0.09992320489281123</v>
      </c>
      <c r="E73" s="88">
        <f>SUMIF('2003'!$A$3:$A$51,$P$1,'2003'!$CO$3:$CO$51)</f>
        <v>0.07618265148258624</v>
      </c>
      <c r="F73" s="88" t="e">
        <f>SUMIF('2004'!$A$3:$A$51,$P$1,'2004'!$CO$3:$CO$51)</f>
        <v>#DIV/0!</v>
      </c>
      <c r="G73" s="88">
        <f t="shared" si="2"/>
        <v>0.09399217416081825</v>
      </c>
      <c r="H73" s="15"/>
    </row>
    <row r="74" spans="1:8" ht="15" customHeight="1">
      <c r="A74" s="86" t="s">
        <v>185</v>
      </c>
      <c r="B74" s="88">
        <f>SUMIF('2000'!$A$3:$A$51,$P$1,'2000'!$CP$3:$CP$51)</f>
        <v>0.10587181100187898</v>
      </c>
      <c r="C74" s="88">
        <f>SUMIF('2001'!$A$3:$A$51,$P$1,'2001'!$CP$3:$CP$51)</f>
        <v>0.11693317760079579</v>
      </c>
      <c r="D74" s="88">
        <f>SUMIF('2002'!$A$3:$A$51,$P$1,'2002'!$CP$3:$CP$51)</f>
        <v>0.10035892287678161</v>
      </c>
      <c r="E74" s="88">
        <f>SUMIF('2003'!$A$3:$A$51,$P$1,'2003'!$CP$3:$CP$51)</f>
        <v>0.11366775726744084</v>
      </c>
      <c r="F74" s="88" t="e">
        <f>SUMIF('2004'!$A$3:$A$51,$P$1,'2004'!$CP$3:$CP$51)</f>
        <v>#DIV/0!</v>
      </c>
      <c r="G74" s="88">
        <f t="shared" si="2"/>
        <v>0.1092079171867243</v>
      </c>
      <c r="H74" s="15"/>
    </row>
    <row r="75" spans="1:8" ht="15" customHeight="1">
      <c r="A75" s="86" t="s">
        <v>186</v>
      </c>
      <c r="B75" s="88">
        <f>SUMIF('2000'!$A$3:$A$51,$P$1,'2000'!$CQ$3:$CQ$51)</f>
        <v>0.08736787980405009</v>
      </c>
      <c r="C75" s="88">
        <f>SUMIF('2001'!$A$3:$A$51,$P$1,'2001'!$CQ$3:$CQ$51)</f>
        <v>0.08967358998060253</v>
      </c>
      <c r="D75" s="88">
        <f>SUMIF('2002'!$A$3:$A$51,$P$1,'2002'!$CQ$3:$CQ$51)</f>
        <v>0.09497947728131363</v>
      </c>
      <c r="E75" s="88">
        <f>SUMIF('2003'!$A$3:$A$51,$P$1,'2003'!$CQ$3:$CQ$51)</f>
        <v>0.0891943642172967</v>
      </c>
      <c r="F75" s="88" t="e">
        <f>SUMIF('2004'!$A$3:$A$51,$P$1,'2004'!$CQ$3:$CQ$51)</f>
        <v>#DIV/0!</v>
      </c>
      <c r="G75" s="88">
        <f t="shared" si="2"/>
        <v>0.09030382782081574</v>
      </c>
      <c r="H75" s="15"/>
    </row>
    <row r="76" spans="1:8" ht="15" customHeight="1">
      <c r="A76" s="86" t="s">
        <v>187</v>
      </c>
      <c r="B76" s="87">
        <f>SUMIF('2000'!$A$3:$A$51,$P$1,'2000'!$G$3:$G$51)</f>
        <v>33227397.999999996</v>
      </c>
      <c r="C76" s="87">
        <f>SUMIF('2001'!$A$3:$A$51,$P$1,'2001'!$G$3:$G$51)</f>
        <v>33761122.349999994</v>
      </c>
      <c r="D76" s="87">
        <f>SUMIF('2002'!$A$3:$A$51,$P$1,'2002'!$G$3:$G$51)</f>
        <v>35861028.99</v>
      </c>
      <c r="E76" s="87">
        <f>SUMIF('2003'!$A$3:$A$51,$P$1,'2003'!$G$3:$G$51)</f>
        <v>38581688.99999999</v>
      </c>
      <c r="F76" s="87" t="e">
        <f>SUMIF('2004'!$A$3:$A$51,$P$1,'2004'!$G$3:$G$51)</f>
        <v>#DIV/0!</v>
      </c>
      <c r="G76" s="87">
        <f t="shared" si="2"/>
        <v>35357809.585</v>
      </c>
      <c r="H76" s="15"/>
    </row>
    <row r="77" spans="1:8" ht="15" customHeight="1">
      <c r="A77" s="86" t="s">
        <v>24</v>
      </c>
      <c r="B77" s="87">
        <f>SUMIF('2000'!$A$3:$A$51,$P$1,'2000'!$I$3:$I$51)</f>
        <v>2130772.5</v>
      </c>
      <c r="C77" s="87">
        <f>SUMIF('2001'!$A$3:$A$51,$P$1,'2001'!$I$3:$I$51)</f>
        <v>2060512.0000000002</v>
      </c>
      <c r="D77" s="87">
        <f>SUMIF('2002'!$A$3:$A$51,$P$1,'2002'!$I$3:$I$51)</f>
        <v>1681180.65</v>
      </c>
      <c r="E77" s="87">
        <f>SUMIF('2003'!$A$3:$A$51,$P$1,'2003'!$I$3:$I$51)</f>
        <v>1393571.8</v>
      </c>
      <c r="F77" s="87" t="e">
        <f>SUMIF('2004'!$A$3:$A$51,$P$1,'2004'!$I$3:$I$51)</f>
        <v>#DIV/0!</v>
      </c>
      <c r="G77" s="87">
        <f t="shared" si="2"/>
        <v>1816509.2375</v>
      </c>
      <c r="H77" s="15"/>
    </row>
    <row r="78" spans="1:8" ht="15" customHeight="1">
      <c r="A78" s="86" t="s">
        <v>25</v>
      </c>
      <c r="B78" s="87">
        <f>SUMIF('2000'!$A$3:$A$51,$P$1,'2000'!$AG$3:$AG$51)</f>
        <v>337236.44999999995</v>
      </c>
      <c r="C78" s="87">
        <f>SUMIF('2001'!$A$3:$A$51,$P$1,'2001'!$AG$3:$AG$51)</f>
        <v>385260.79999999993</v>
      </c>
      <c r="D78" s="87">
        <f>SUMIF('2002'!$A$3:$A$51,$P$1,'2002'!$AG$3:$AG$51)</f>
        <v>346343.25</v>
      </c>
      <c r="E78" s="87">
        <f>SUMIF('2003'!$A$3:$A$51,$P$1,'2003'!$AG$3:$AG$51)</f>
        <v>782089.1499999999</v>
      </c>
      <c r="F78" s="87" t="e">
        <f>SUMIF('2004'!$A$3:$A$51,$P$1,'2004'!$AG$3:$AG$51)</f>
        <v>#DIV/0!</v>
      </c>
      <c r="G78" s="87">
        <f t="shared" si="2"/>
        <v>462732.4125</v>
      </c>
      <c r="H78" s="15"/>
    </row>
    <row r="79" spans="1:8" ht="15" customHeight="1">
      <c r="A79" s="86" t="s">
        <v>188</v>
      </c>
      <c r="B79" s="87">
        <f>SUMIF('2000'!$A$3:$A$51,$P$1,'2000'!$J$3:$J$51)</f>
        <v>42499.99999999999</v>
      </c>
      <c r="C79" s="87">
        <f>SUMIF('2001'!$A$3:$A$51,$P$1,'2001'!$J$3:$J$51)</f>
        <v>12500</v>
      </c>
      <c r="D79" s="87">
        <f>SUMIF('2002'!$A$3:$A$51,$P$1,'2002'!$J$3:$J$51)</f>
        <v>0</v>
      </c>
      <c r="E79" s="87">
        <f>SUMIF('2003'!$A$3:$A$51,$P$1,'2003'!$J$3:$J$51)</f>
        <v>0</v>
      </c>
      <c r="F79" s="87" t="e">
        <f>SUMIF('2004'!$A$3:$A$51,$P$1,'2004'!$J$3:$J$51)</f>
        <v>#DIV/0!</v>
      </c>
      <c r="G79" s="87">
        <f t="shared" si="2"/>
        <v>13749.999999999998</v>
      </c>
      <c r="H79" s="15"/>
    </row>
    <row r="80" spans="1:8" ht="15" customHeight="1">
      <c r="A80" s="86" t="s">
        <v>189</v>
      </c>
      <c r="B80" s="87">
        <f>SUMIF('2000'!$A$3:$A$51,$P$1,'2000'!$AH$3:$AH$51)</f>
        <v>0</v>
      </c>
      <c r="C80" s="87">
        <f>SUMIF('2001'!$A$3:$A$51,$P$1,'2001'!$AH$3:$AH$51)</f>
        <v>0</v>
      </c>
      <c r="D80" s="87">
        <f>SUMIF('2002'!$A$3:$A$51,$P$1,'2002'!$AH$3:$AH$51)</f>
        <v>0</v>
      </c>
      <c r="E80" s="87">
        <f>SUMIF('2003'!$A$3:$A$51,$P$1,'2003'!$AH$3:$AH$51)</f>
        <v>0</v>
      </c>
      <c r="F80" s="87" t="e">
        <f>SUMIF('2004'!$A$3:$A$51,$P$1,'2004'!$AH$3:$AH$51)</f>
        <v>#DIV/0!</v>
      </c>
      <c r="G80" s="87">
        <f t="shared" si="2"/>
        <v>0</v>
      </c>
      <c r="H80" s="15"/>
    </row>
    <row r="81" spans="1:8" ht="15" customHeight="1">
      <c r="A81" s="73"/>
      <c r="B81" s="74"/>
      <c r="C81" s="74"/>
      <c r="D81" s="74"/>
      <c r="E81" s="74"/>
      <c r="F81" s="74"/>
      <c r="G81" s="74"/>
      <c r="H81" s="15"/>
    </row>
    <row r="82" spans="1:8" ht="15" customHeight="1">
      <c r="A82" s="107" t="s">
        <v>209</v>
      </c>
      <c r="B82" s="108">
        <f aca="true" t="shared" si="3" ref="B82:G82">B5</f>
        <v>2000</v>
      </c>
      <c r="C82" s="108">
        <f t="shared" si="3"/>
        <v>2001</v>
      </c>
      <c r="D82" s="108">
        <f t="shared" si="3"/>
        <v>2002</v>
      </c>
      <c r="E82" s="108">
        <f t="shared" si="3"/>
        <v>2003</v>
      </c>
      <c r="F82" s="108">
        <f t="shared" si="3"/>
        <v>2004</v>
      </c>
      <c r="G82" s="108" t="str">
        <f t="shared" si="3"/>
        <v>Veränderung</v>
      </c>
      <c r="H82" s="15"/>
    </row>
    <row r="83" spans="1:8" ht="15" customHeight="1">
      <c r="A83" s="109" t="s">
        <v>58</v>
      </c>
      <c r="B83" s="110">
        <f>SUMIF('2000'!$A$3:$A$51,$P$1,'2000'!$F$3:$F$51)</f>
        <v>329</v>
      </c>
      <c r="C83" s="110">
        <f>SUMIF('2001'!$A$3:$A$51,$P$1,'2001'!$F$3:$F$51)</f>
        <v>325</v>
      </c>
      <c r="D83" s="110">
        <f>SUMIF('2002'!$A$3:$A$51,$P$1,'2002'!$F$3:$F$51)</f>
        <v>311</v>
      </c>
      <c r="E83" s="110">
        <f>SUMIF('2003'!$A$3:$A$51,$P$1,'2003'!$F$3:$F$51)</f>
        <v>314</v>
      </c>
      <c r="F83" s="110">
        <f>SUMIF('2004'!$A$3:$A$51,$P$1,'2004'!$F$3:$F$51)</f>
        <v>304</v>
      </c>
      <c r="G83" s="111">
        <f>(E83-B83)/B83</f>
        <v>-0.04559270516717325</v>
      </c>
      <c r="H83" s="15"/>
    </row>
    <row r="84" spans="1:8" ht="15" customHeight="1">
      <c r="A84" s="109" t="s">
        <v>190</v>
      </c>
      <c r="B84" s="110">
        <f>SUMIF('2000'!$A$3:$A$51,$P$1,'2000'!$DE$3:$DE$51)</f>
        <v>19895302.750000004</v>
      </c>
      <c r="C84" s="110">
        <f>SUMIF('2001'!$A$3:$A$51,$P$1,'2001'!$DE$3:$DE$51)</f>
        <v>19105261.05000001</v>
      </c>
      <c r="D84" s="110">
        <f>SUMIF('2002'!$A$3:$A$51,$P$1,'2002'!$DE$3:$DE$51)</f>
        <v>18317141.999999996</v>
      </c>
      <c r="E84" s="110">
        <f>SUMIF('2003'!$A$3:$A$51,$P$1,'2003'!$DE$3:$DE$51)</f>
        <v>19455865.7</v>
      </c>
      <c r="F84" s="110" t="e">
        <f>SUMIF('2004'!$A$3:$A$51,$P$1,'2004'!$DE$3:$DE$51)</f>
        <v>#DIV/0!</v>
      </c>
      <c r="G84" s="111">
        <f>(E84-B84)/B84</f>
        <v>-0.022087477407198762</v>
      </c>
      <c r="H84" s="15"/>
    </row>
    <row r="85" spans="1:8" ht="15" customHeight="1">
      <c r="A85" s="109" t="s">
        <v>51</v>
      </c>
      <c r="B85" s="110">
        <f>SUMIF('2000'!$A$3:$A$51,$P$1,'2000'!$C$3:$C$51)</f>
        <v>132077817</v>
      </c>
      <c r="C85" s="110">
        <f>SUMIF('2001'!$A$3:$A$51,$P$1,'2001'!$C$3:$C$51)</f>
        <v>126728843</v>
      </c>
      <c r="D85" s="110">
        <f>SUMIF('2002'!$A$3:$A$51,$P$1,'2002'!$C$3:$C$51)</f>
        <v>120978291</v>
      </c>
      <c r="E85" s="110">
        <f>SUMIF('2003'!$A$3:$A$51,$P$1,'2003'!$C$3:$C$51)</f>
        <v>136563571</v>
      </c>
      <c r="F85" s="110">
        <f>SUMIF('2004'!$A$3:$A$51,$P$1,'2004'!$C$3:$C$51)</f>
        <v>0</v>
      </c>
      <c r="G85" s="111">
        <f>(E85-B85)/B85</f>
        <v>0.0339629629099639</v>
      </c>
      <c r="H85" s="15"/>
    </row>
    <row r="86" spans="1:8" ht="15" customHeight="1">
      <c r="A86" s="109" t="s">
        <v>191</v>
      </c>
      <c r="B86" s="110">
        <f>SUMIF('2000'!$A$3:$A$51,$P$1,'2000'!$D$3:$D$51)</f>
        <v>2655.65</v>
      </c>
      <c r="C86" s="110">
        <f>SUMIF('2001'!$A$3:$A$51,$P$1,'2001'!$D$3:$D$51)</f>
        <v>2722.5</v>
      </c>
      <c r="D86" s="110">
        <f>SUMIF('2002'!$A$3:$A$51,$P$1,'2002'!$D$3:$D$51)</f>
        <v>2674.32</v>
      </c>
      <c r="E86" s="110">
        <f>SUMIF('2003'!$A$3:$A$51,$P$1,'2003'!$D$3:$D$51)</f>
        <v>2933.89</v>
      </c>
      <c r="F86" s="110" t="e">
        <f>SUMIF('2004'!$A$3:$A$51,$P$1,'2004'!$D$3:$D$51)</f>
        <v>#NUM!</v>
      </c>
      <c r="G86" s="111">
        <f>(E86-B86)/B86</f>
        <v>0.10477284280684569</v>
      </c>
      <c r="H86" s="15"/>
    </row>
    <row r="87" spans="1:8" ht="15" customHeight="1">
      <c r="A87" s="109" t="s">
        <v>192</v>
      </c>
      <c r="B87" s="112">
        <f>SUMIF('2000'!$A$3:$A$51,$P$1,'2000'!$E$3:$E$51)</f>
        <v>77.02</v>
      </c>
      <c r="C87" s="112">
        <f>SUMIF('2001'!$A$3:$A$51,$P$1,'2001'!$E$3:$E$51)</f>
        <v>82.08</v>
      </c>
      <c r="D87" s="112">
        <f>SUMIF('2002'!$A$3:$A$51,$P$1,'2002'!$E$3:$E$51)</f>
        <v>83.93</v>
      </c>
      <c r="E87" s="112">
        <f>SUMIF('2003'!$A$3:$A$51,$P$1,'2003'!$E$3:$E$51)</f>
        <v>82.09</v>
      </c>
      <c r="F87" s="112" t="e">
        <f>SUMIF('2004'!$A$3:$A$51,$P$1,'2004'!$E$3:$E$51)</f>
        <v>#NUM!</v>
      </c>
      <c r="G87" s="111">
        <f>(E87-B87)/B87</f>
        <v>0.06582705790703723</v>
      </c>
      <c r="H87" s="15"/>
    </row>
    <row r="88" spans="1:8" ht="15" customHeight="1">
      <c r="A88" s="73"/>
      <c r="B88" s="74"/>
      <c r="C88" s="74"/>
      <c r="D88" s="74"/>
      <c r="E88" s="74"/>
      <c r="F88" s="74"/>
      <c r="G88" s="74"/>
      <c r="H88" s="15"/>
    </row>
    <row r="89" spans="1:8" ht="15" customHeight="1">
      <c r="A89" s="80" t="s">
        <v>211</v>
      </c>
      <c r="B89" s="84">
        <f aca="true" t="shared" si="4" ref="B89:G89">B5</f>
        <v>2000</v>
      </c>
      <c r="C89" s="84">
        <f t="shared" si="4"/>
        <v>2001</v>
      </c>
      <c r="D89" s="84">
        <f t="shared" si="4"/>
        <v>2002</v>
      </c>
      <c r="E89" s="84">
        <f t="shared" si="4"/>
        <v>2003</v>
      </c>
      <c r="F89" s="84">
        <f t="shared" si="4"/>
        <v>2004</v>
      </c>
      <c r="G89" s="84" t="str">
        <f t="shared" si="4"/>
        <v>Veränderung</v>
      </c>
      <c r="H89" s="15"/>
    </row>
    <row r="90" spans="1:8" ht="15" customHeight="1">
      <c r="A90" s="81" t="s">
        <v>193</v>
      </c>
      <c r="B90" s="82">
        <f>SUMIF('2000'!$A$3:$A$51,$P$1,'2000'!$DF$3:$DF$51)</f>
        <v>-885.1955170343293</v>
      </c>
      <c r="C90" s="82">
        <f>SUMIF('2001'!$A$3:$A$51,$P$1,'2001'!$DF$3:$DF$51)</f>
        <v>-892.5449917554375</v>
      </c>
      <c r="D90" s="82">
        <f>SUMIF('2002'!$A$3:$A$51,$P$1,'2002'!$DF$3:$DF$51)</f>
        <v>-956.1307959753462</v>
      </c>
      <c r="E90" s="82">
        <f>SUMIF('2003'!$A$3:$A$51,$P$1,'2003'!$DF$3:$DF$51)</f>
        <v>-933.2286299398066</v>
      </c>
      <c r="F90" s="82" t="e">
        <f>SUMIF('2004'!$A$3:$A$51,$P$1,'2004'!$DF$3:$DF$51)</f>
        <v>#DIV/0!</v>
      </c>
      <c r="G90" s="83">
        <f>(E90-B90)/B90</f>
        <v>0.05426271595500467</v>
      </c>
      <c r="H90" s="15"/>
    </row>
    <row r="91" spans="1:8" ht="15" customHeight="1">
      <c r="A91" s="81" t="s">
        <v>194</v>
      </c>
      <c r="B91" s="82">
        <f>SUMIF('2000'!$A$3:$A$51,$P$1,'2000'!$DG$3:$DG$51)</f>
        <v>47.63825871296176</v>
      </c>
      <c r="C91" s="82">
        <f>SUMIF('2001'!$A$3:$A$51,$P$1,'2001'!$DG$3:$DG$51)</f>
        <v>44.82922239380218</v>
      </c>
      <c r="D91" s="82">
        <f>SUMIF('2002'!$A$3:$A$51,$P$1,'2002'!$DG$3:$DG$51)</f>
        <v>36.26188036664384</v>
      </c>
      <c r="E91" s="82">
        <f>SUMIF('2003'!$A$3:$A$51,$P$1,'2003'!$DG$3:$DG$51)</f>
        <v>17.235607170897676</v>
      </c>
      <c r="F91" s="82" t="e">
        <f>SUMIF('2004'!$A$3:$A$51,$P$1,'2004'!$DG$3:$DG$51)</f>
        <v>#DIV/0!</v>
      </c>
      <c r="G91" s="83">
        <f>(E91-B91)/B91</f>
        <v>-0.6381982121817544</v>
      </c>
      <c r="H91" s="15"/>
    </row>
    <row r="92" spans="1:8" ht="15" customHeight="1">
      <c r="A92" s="81" t="s">
        <v>195</v>
      </c>
      <c r="B92" s="82">
        <f>SUMIF('2000'!$A$3:$A$51,$P$1,'2000'!$DH$3:$DH$51)</f>
        <v>519.3917961101685</v>
      </c>
      <c r="C92" s="82">
        <f>SUMIF('2001'!$A$3:$A$51,$P$1,'2001'!$DH$3:$DH$51)</f>
        <v>500.04609233910037</v>
      </c>
      <c r="D92" s="82">
        <f>SUMIF('2002'!$A$3:$A$51,$P$1,'2002'!$DH$3:$DH$51)</f>
        <v>482.4617289153452</v>
      </c>
      <c r="E92" s="82">
        <f>SUMIF('2003'!$A$3:$A$51,$P$1,'2003'!$DH$3:$DH$51)</f>
        <v>509.18256215650354</v>
      </c>
      <c r="F92" s="82" t="e">
        <f>SUMIF('2004'!$A$3:$A$51,$P$1,'2004'!$DH$3:$DH$51)</f>
        <v>#DIV/0!</v>
      </c>
      <c r="G92" s="83">
        <f>(E92-B92)/B92</f>
        <v>-0.019656132480574327</v>
      </c>
      <c r="H92" s="15"/>
    </row>
    <row r="93" spans="1:8" ht="15" customHeight="1">
      <c r="A93" s="81" t="s">
        <v>196</v>
      </c>
      <c r="B93" s="82">
        <f>SUMIF('2000'!$A$3:$A$51,$P$1,'2000'!$DI$3:$DI$51)</f>
        <v>13.057950659182874</v>
      </c>
      <c r="C93" s="82">
        <f>SUMIF('2001'!$A$3:$A$51,$P$1,'2001'!$DI$3:$DI$51)</f>
        <v>52.02359907870286</v>
      </c>
      <c r="D93" s="82">
        <f>SUMIF('2002'!$A$3:$A$51,$P$1,'2002'!$DI$3:$DI$51)</f>
        <v>50.185764894905965</v>
      </c>
      <c r="E93" s="82">
        <f>SUMIF('2003'!$A$3:$A$51,$P$1,'2003'!$DI$3:$DI$51)</f>
        <v>114.32419916252289</v>
      </c>
      <c r="F93" s="82" t="e">
        <f>SUMIF('2004'!$A$3:$A$51,$P$1,'2004'!$DI$3:$DI$51)</f>
        <v>#DIV/0!</v>
      </c>
      <c r="G93" s="83">
        <f>(E93-B93)/B93</f>
        <v>7.755140997728118</v>
      </c>
      <c r="H93" s="15"/>
    </row>
    <row r="94" spans="1:8" ht="15" customHeight="1">
      <c r="A94" s="81" t="s">
        <v>197</v>
      </c>
      <c r="B94" s="82">
        <f>SUMIF('2000'!$A$3:$A$51,$P$1,'2000'!$DJ$3:$DJ$51)</f>
        <v>87.35060775355693</v>
      </c>
      <c r="C94" s="82">
        <f>SUMIF('2001'!$A$3:$A$51,$P$1,'2001'!$DJ$3:$DJ$51)</f>
        <v>40.46420525034684</v>
      </c>
      <c r="D94" s="82">
        <f>SUMIF('2002'!$A$3:$A$51,$P$1,'2002'!$DJ$3:$DJ$51)</f>
        <v>-40.407518569245816</v>
      </c>
      <c r="E94" s="82">
        <f>SUMIF('2003'!$A$3:$A$51,$P$1,'2003'!$DJ$3:$DJ$51)</f>
        <v>-58.406410363779464</v>
      </c>
      <c r="F94" s="82" t="e">
        <f>SUMIF('2004'!$A$3:$A$51,$P$1,'2004'!$DJ$3:$DJ$51)</f>
        <v>#DIV/0!</v>
      </c>
      <c r="G94" s="83">
        <f>(E94-B94)/B94</f>
        <v>-1.668643434382987</v>
      </c>
      <c r="H94" s="15"/>
    </row>
    <row r="95" spans="1:8" ht="15" customHeight="1">
      <c r="A95" s="59"/>
      <c r="B95" s="59"/>
      <c r="C95" s="59"/>
      <c r="D95" s="59"/>
      <c r="E95" s="59"/>
      <c r="F95" s="59"/>
      <c r="G95" s="59"/>
      <c r="H95" s="15"/>
    </row>
    <row r="96" spans="1:8" ht="15" customHeight="1">
      <c r="A96" s="103" t="s">
        <v>210</v>
      </c>
      <c r="B96" s="103">
        <f aca="true" t="shared" si="5" ref="B96:G96">B5</f>
        <v>2000</v>
      </c>
      <c r="C96" s="103">
        <f t="shared" si="5"/>
        <v>2001</v>
      </c>
      <c r="D96" s="103">
        <f t="shared" si="5"/>
        <v>2002</v>
      </c>
      <c r="E96" s="103">
        <f t="shared" si="5"/>
        <v>2003</v>
      </c>
      <c r="F96" s="103">
        <f t="shared" si="5"/>
        <v>2004</v>
      </c>
      <c r="G96" s="103" t="str">
        <f t="shared" si="5"/>
        <v>Veränderung</v>
      </c>
      <c r="H96" s="15"/>
    </row>
    <row r="97" spans="1:8" ht="15" customHeight="1">
      <c r="A97" s="104" t="s">
        <v>53</v>
      </c>
      <c r="B97" s="105">
        <f>SUMIF('2000'!$A$3:$A$51,$P$1,'2000'!$B$3:$B$51)</f>
        <v>38305</v>
      </c>
      <c r="C97" s="105">
        <f>SUMIF('2001'!$A$3:$A$51,$P$1,'2001'!$B$3:$B$51)</f>
        <v>38207</v>
      </c>
      <c r="D97" s="105">
        <f>SUMIF('2002'!$A$3:$A$51,$P$1,'2002'!$B$3:$B$51)</f>
        <v>37966</v>
      </c>
      <c r="E97" s="105">
        <f>SUMIF('2003'!$A$3:$A$51,$P$1,'2003'!$B$3:$B$51)</f>
        <v>38210</v>
      </c>
      <c r="F97" s="105">
        <f>SUMIF('2004'!$A$3:$A$51,$P$1,'2004'!$B$3:$B$51)</f>
        <v>0</v>
      </c>
      <c r="G97" s="106">
        <f>(E97-B97)/B97</f>
        <v>-0.002480093982508811</v>
      </c>
      <c r="H97" s="15"/>
    </row>
    <row r="98" spans="1:8" ht="15" customHeight="1">
      <c r="A98" s="104" t="s">
        <v>258</v>
      </c>
      <c r="B98" s="105">
        <f>SUMIF('2000'!$A$3:$A$51,$P$1,'2000'!$DK$3:$DK$51)</f>
        <v>-35180983.22999999</v>
      </c>
      <c r="C98" s="105">
        <f>SUMIF('2001'!$A$3:$A$51,$P$1,'2001'!$DK$3:$DK$51)</f>
        <v>-35273589.349999994</v>
      </c>
      <c r="D98" s="105">
        <f>SUMIF('2002'!$A$3:$A$51,$P$1,'2002'!$DK$3:$DK$51)</f>
        <v>-37460690.85</v>
      </c>
      <c r="E98" s="105">
        <f>SUMIF('2003'!$A$3:$A$51,$P$1,'2003'!$DK$3:$DK$51)</f>
        <v>-37081190.25</v>
      </c>
      <c r="F98" s="105" t="e">
        <f>SUMIF('2004'!$A$3:$A$51,$P$1,'2004'!$DK$3:$DK$51)</f>
        <v>#DIV/0!</v>
      </c>
      <c r="G98" s="106">
        <f>(E98-B98)/B98</f>
        <v>0.054012334094734486</v>
      </c>
      <c r="H98" s="15"/>
    </row>
    <row r="99" spans="1:8" ht="15" customHeight="1">
      <c r="A99" s="104" t="s">
        <v>246</v>
      </c>
      <c r="B99" s="105">
        <f>SUMIF('2000'!$A$3:$A$51,$P$1,'2000'!$DL$3:$DL$51)</f>
        <v>616</v>
      </c>
      <c r="C99" s="105">
        <f>SUMIF('2001'!$A$3:$A$51,$P$1,'2001'!$DL$3:$DL$51)</f>
        <v>617</v>
      </c>
      <c r="D99" s="105">
        <f>SUMIF('2002'!$A$3:$A$51,$P$1,'2002'!$DL$3:$DL$51)</f>
        <v>595</v>
      </c>
      <c r="E99" s="105">
        <f>SUMIF('2003'!$A$3:$A$51,$P$1,'2003'!$DL$3:$DL$51)</f>
        <v>604</v>
      </c>
      <c r="F99" s="105">
        <f>SUMIF('2004'!$A$3:$A$51,$P$1,'2004'!$DL$3:$DL$51)</f>
        <v>0</v>
      </c>
      <c r="G99" s="106">
        <f>(E99-B99)/B99</f>
        <v>-0.01948051948051948</v>
      </c>
      <c r="H99" s="13"/>
    </row>
    <row r="100" spans="1:8" ht="15" customHeight="1">
      <c r="A100" s="104" t="s">
        <v>248</v>
      </c>
      <c r="B100" s="105">
        <f>SUMIF('2000'!$A$3:$A$51,$P$1,'2000'!$DM$3:$DM$51)</f>
        <v>2779</v>
      </c>
      <c r="C100" s="105">
        <f>SUMIF('2001'!$A$3:$A$51,$P$1,'2001'!$DM$3:$DM$51)</f>
        <v>2763</v>
      </c>
      <c r="D100" s="105">
        <f>SUMIF('2002'!$A$3:$A$51,$P$1,'2002'!$DM$3:$DM$51)</f>
        <v>2764</v>
      </c>
      <c r="E100" s="105">
        <f>SUMIF('2003'!$A$3:$A$51,$P$1,'2003'!$DM$3:$DM$51)</f>
        <v>2683</v>
      </c>
      <c r="F100" s="105">
        <f>SUMIF('2004'!$A$3:$A$51,$P$1,'2004'!$DM$3:$DM$51)</f>
        <v>0</v>
      </c>
      <c r="G100" s="106">
        <f>(E100-B100)/B100</f>
        <v>-0.03454480028787334</v>
      </c>
      <c r="H100" s="13"/>
    </row>
    <row r="101" spans="1:8" ht="15" customHeight="1">
      <c r="A101" s="59"/>
      <c r="B101" s="59"/>
      <c r="C101" s="59"/>
      <c r="D101" s="59"/>
      <c r="E101" s="59"/>
      <c r="F101" s="59"/>
      <c r="G101" s="59"/>
      <c r="H101" s="13"/>
    </row>
    <row r="102" ht="15" customHeight="1">
      <c r="H102" s="13"/>
    </row>
    <row r="103" ht="15" customHeight="1">
      <c r="H103" s="13"/>
    </row>
    <row r="104" ht="15" customHeight="1">
      <c r="H104" s="13"/>
    </row>
    <row r="105" ht="15" customHeight="1">
      <c r="H105" s="13"/>
    </row>
    <row r="106" ht="15" customHeight="1">
      <c r="H106" s="13"/>
    </row>
    <row r="107" ht="15" customHeight="1">
      <c r="H107" s="13"/>
    </row>
    <row r="108" ht="4.5" customHeight="1">
      <c r="H108" s="13"/>
    </row>
  </sheetData>
  <printOptions horizontalCentered="1"/>
  <pageMargins left="0.03937007874015748" right="0.03937007874015748" top="0.7874015748031497" bottom="0.5905511811023623" header="0.1968503937007874" footer="0.2755905511811024"/>
  <pageSetup orientation="portrait" paperSize="9" scale="93" r:id="rId3"/>
  <headerFooter alignWithMargins="0">
    <oddHeader>&amp;L&amp;"Arial,Fett"&amp;14Finanzkennzahlen Gemeinden Kanton Glarus - Erhebung 2003</oddHeader>
  </headerFooter>
  <rowBreaks count="1" manualBreakCount="1">
    <brk id="107" max="255" man="1"/>
  </rowBreaks>
  <colBreaks count="1" manualBreakCount="1">
    <brk id="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22"/>
  <sheetViews>
    <sheetView workbookViewId="0" topLeftCell="A1">
      <selection activeCell="B15" sqref="B15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</cols>
  <sheetData>
    <row r="1" spans="2:7" ht="12.75">
      <c r="B1">
        <f>+Abfrage!B61</f>
        <v>2000</v>
      </c>
      <c r="C1">
        <f>+Abfrage!C61</f>
        <v>2001</v>
      </c>
      <c r="D1">
        <f>+Abfrage!D61</f>
        <v>2002</v>
      </c>
      <c r="E1">
        <f>+Abfrage!E61</f>
        <v>2003</v>
      </c>
      <c r="F1">
        <f>+Abfrage!F61</f>
        <v>2004</v>
      </c>
      <c r="G1" t="str">
        <f>+Abfrage!G61</f>
        <v>Mittelwert</v>
      </c>
    </row>
    <row r="2" spans="1:7" ht="12.75">
      <c r="A2" t="s">
        <v>39</v>
      </c>
      <c r="B2" s="14">
        <f>+Abfrage!B68</f>
        <v>7.6894576364575675</v>
      </c>
      <c r="C2" s="14">
        <f>+Abfrage!C68</f>
        <v>1.7778048284931627</v>
      </c>
      <c r="D2" s="14">
        <f>+Abfrage!D68</f>
        <v>0.1948410760159773</v>
      </c>
      <c r="E2" s="14">
        <f>+Abfrage!E68</f>
        <v>0.48911594577847217</v>
      </c>
      <c r="F2" s="14" t="e">
        <f>+Abfrage!F68</f>
        <v>#DIV/0!</v>
      </c>
      <c r="G2" s="14">
        <f>+Abfrage!G68</f>
        <v>2.537804871686295</v>
      </c>
    </row>
    <row r="3" spans="1:7" ht="12.75">
      <c r="A3" t="s">
        <v>59</v>
      </c>
      <c r="B3" s="14">
        <f>+'2000'!CJ35</f>
        <v>5.433780536939356</v>
      </c>
      <c r="C3" s="14">
        <f>+'2001'!CJ35</f>
        <v>1.3443752820889499</v>
      </c>
      <c r="D3" s="14">
        <f>+'2002'!CJ35</f>
        <v>1.6812164520696808</v>
      </c>
      <c r="E3" s="14">
        <f>+'2003'!CJ35</f>
        <v>-0.5532155424516741</v>
      </c>
      <c r="F3" s="14" t="e">
        <f>+'2004'!CJ35</f>
        <v>#DIV/0!</v>
      </c>
      <c r="G3" s="17">
        <f>AVERAGE(B3:D3)</f>
        <v>2.819790757032662</v>
      </c>
    </row>
    <row r="5" spans="2:7" ht="12.75">
      <c r="B5">
        <f>+Abfrage!B61</f>
        <v>2000</v>
      </c>
      <c r="C5">
        <f>+Abfrage!C61</f>
        <v>2001</v>
      </c>
      <c r="D5">
        <f>+Abfrage!D61</f>
        <v>2002</v>
      </c>
      <c r="E5">
        <f>+Abfrage!E61</f>
        <v>2003</v>
      </c>
      <c r="F5">
        <f>+Abfrage!F61</f>
        <v>2004</v>
      </c>
      <c r="G5" t="str">
        <f>+Abfrage!G61</f>
        <v>Mittelwert</v>
      </c>
    </row>
    <row r="6" spans="1:7" ht="12.75">
      <c r="A6" t="s">
        <v>40</v>
      </c>
      <c r="B6" s="14">
        <f>+Abfrage!B70</f>
        <v>0.07183586597550994</v>
      </c>
      <c r="C6" s="14">
        <f>+Abfrage!C70</f>
        <v>0.06545832917911498</v>
      </c>
      <c r="D6" s="14">
        <f>+Abfrage!D70</f>
        <v>0.007043606621247503</v>
      </c>
      <c r="E6" s="14">
        <f>+Abfrage!E70</f>
        <v>0.037659949567201687</v>
      </c>
      <c r="F6" s="14" t="e">
        <f>+Abfrage!F70</f>
        <v>#DIV/0!</v>
      </c>
      <c r="G6" s="14">
        <f>+Abfrage!G70</f>
        <v>0.04549943783576853</v>
      </c>
    </row>
    <row r="7" spans="1:7" ht="12.75">
      <c r="A7" t="s">
        <v>59</v>
      </c>
      <c r="B7" s="14">
        <f>+'2000'!CL35</f>
        <v>0.03431958148891758</v>
      </c>
      <c r="C7" s="14">
        <f>+'2001'!CL35</f>
        <v>0.035809064818567535</v>
      </c>
      <c r="D7" s="14">
        <f>+'2002'!CL35</f>
        <v>-0.020896428446084248</v>
      </c>
      <c r="E7" s="14">
        <f>+'2003'!CL35</f>
        <v>-0.004771829171182696</v>
      </c>
      <c r="F7" s="14" t="e">
        <f>+'2004'!CL35</f>
        <v>#DIV/0!</v>
      </c>
      <c r="G7" s="14">
        <f>AVERAGE(B7:D7)</f>
        <v>0.01641073928713362</v>
      </c>
    </row>
    <row r="9" spans="2:7" ht="12.75">
      <c r="B9">
        <f>+Abfrage!B61</f>
        <v>2000</v>
      </c>
      <c r="C9">
        <f>+Abfrage!C61</f>
        <v>2001</v>
      </c>
      <c r="D9">
        <f>+Abfrage!D61</f>
        <v>2002</v>
      </c>
      <c r="E9">
        <f>+Abfrage!E61</f>
        <v>2003</v>
      </c>
      <c r="F9">
        <f>+Abfrage!F61</f>
        <v>2004</v>
      </c>
      <c r="G9" t="str">
        <f>+Abfrage!G61</f>
        <v>Mittelwert</v>
      </c>
    </row>
    <row r="10" spans="1:7" ht="12.75">
      <c r="A10" t="s">
        <v>41</v>
      </c>
      <c r="B10" s="14">
        <f>+Abfrage!B72</f>
        <v>0.034082110353023325</v>
      </c>
      <c r="C10" s="14">
        <f>+Abfrage!C72</f>
        <v>0.03172792322257005</v>
      </c>
      <c r="D10" s="14">
        <f>+Abfrage!D72</f>
        <v>0.0261206720615117</v>
      </c>
      <c r="E10" s="14">
        <f>+Abfrage!E72</f>
        <v>0.011607971465972707</v>
      </c>
      <c r="F10" s="14" t="e">
        <f>+Abfrage!F72</f>
        <v>#DIV/0!</v>
      </c>
      <c r="G10" s="14">
        <f>+Abfrage!G72</f>
        <v>0.02588466927576944</v>
      </c>
    </row>
    <row r="11" spans="1:7" ht="12.75">
      <c r="A11" t="s">
        <v>59</v>
      </c>
      <c r="B11" s="14">
        <f>+'2000'!CN35</f>
        <v>0.03010079183553944</v>
      </c>
      <c r="C11" s="14">
        <f>+'2001'!CN35</f>
        <v>0.023541191516112874</v>
      </c>
      <c r="D11" s="14">
        <f>+'2002'!CN35</f>
        <v>0.018154804358020516</v>
      </c>
      <c r="E11" s="14">
        <f>+'2003'!CN35</f>
        <v>0.012144632923593298</v>
      </c>
      <c r="F11" s="14" t="e">
        <f>+'2004'!CN35</f>
        <v>#DIV/0!</v>
      </c>
      <c r="G11" s="14">
        <f>AVERAGE(B11:D11)</f>
        <v>0.023932262569890946</v>
      </c>
    </row>
    <row r="13" spans="2:7" ht="12.75">
      <c r="B13">
        <f>+Abfrage!B61</f>
        <v>2000</v>
      </c>
      <c r="C13">
        <f>+Abfrage!C61</f>
        <v>2001</v>
      </c>
      <c r="D13">
        <f>+Abfrage!D61</f>
        <v>2002</v>
      </c>
      <c r="E13">
        <f>+Abfrage!E61</f>
        <v>2003</v>
      </c>
      <c r="F13">
        <f>+Abfrage!F61</f>
        <v>2004</v>
      </c>
      <c r="G13" t="str">
        <f>+Abfrage!G61</f>
        <v>Mittelwert</v>
      </c>
    </row>
    <row r="14" spans="1:7" ht="12.75">
      <c r="A14" t="s">
        <v>42</v>
      </c>
      <c r="B14" s="14">
        <f>+Abfrage!B73</f>
        <v>0.09965259606634558</v>
      </c>
      <c r="C14" s="14">
        <f>+Abfrage!C73</f>
        <v>0.10021024420152994</v>
      </c>
      <c r="D14" s="14">
        <f>+Abfrage!D73</f>
        <v>0.09992320489281123</v>
      </c>
      <c r="E14" s="14">
        <f>+Abfrage!E73</f>
        <v>0.07618265148258624</v>
      </c>
      <c r="F14" s="14" t="e">
        <f>+Abfrage!F73</f>
        <v>#DIV/0!</v>
      </c>
      <c r="G14" s="14">
        <f>+Abfrage!G73</f>
        <v>0.09399217416081825</v>
      </c>
    </row>
    <row r="15" spans="1:7" ht="12.75">
      <c r="A15" t="s">
        <v>59</v>
      </c>
      <c r="B15" s="14">
        <f>+'2000'!CO35</f>
        <v>0.11173111326531396</v>
      </c>
      <c r="C15" s="14">
        <f>+'2001'!CO35</f>
        <v>0.11132778101831611</v>
      </c>
      <c r="D15" s="14">
        <f>+'2002'!CO35</f>
        <v>0.13199430370668394</v>
      </c>
      <c r="E15" s="14">
        <f>+'2003'!CO35</f>
        <v>0.11129332076486764</v>
      </c>
      <c r="F15" s="14" t="e">
        <f>+'2004'!CO35</f>
        <v>#DIV/0!</v>
      </c>
      <c r="G15" s="14">
        <f>AVERAGE(B15:D15)</f>
        <v>0.11835106599677132</v>
      </c>
    </row>
    <row r="17" spans="2:7" ht="12.75">
      <c r="B17">
        <f>+Abfrage!B61</f>
        <v>2000</v>
      </c>
      <c r="C17">
        <f>+Abfrage!C61</f>
        <v>2001</v>
      </c>
      <c r="D17">
        <f>+Abfrage!D61</f>
        <v>2002</v>
      </c>
      <c r="E17">
        <f>+Abfrage!E61</f>
        <v>2003</v>
      </c>
      <c r="F17">
        <f>+Abfrage!F61</f>
        <v>2004</v>
      </c>
      <c r="G17" t="str">
        <f>+Abfrage!G61</f>
        <v>Mittelwert</v>
      </c>
    </row>
    <row r="18" spans="1:7" ht="12.75">
      <c r="A18" t="s">
        <v>60</v>
      </c>
      <c r="B18" s="18">
        <f>Abfrage!B64/1000</f>
        <v>500.1848</v>
      </c>
      <c r="C18" s="18">
        <f>Abfrage!C64/1000</f>
        <v>1987.6656500000001</v>
      </c>
      <c r="D18" s="18">
        <f>Abfrage!D64/1000</f>
        <v>1905.35275</v>
      </c>
      <c r="E18" s="18">
        <f>Abfrage!E64/1000</f>
        <v>4368.327649999999</v>
      </c>
      <c r="F18" s="18" t="e">
        <f>Abfrage!F64/1000</f>
        <v>#DIV/0!</v>
      </c>
      <c r="G18" s="18">
        <f>Abfrage!G64/1000</f>
        <v>2190.3827125</v>
      </c>
    </row>
    <row r="19" spans="1:7" ht="12.75">
      <c r="A19" t="s">
        <v>61</v>
      </c>
      <c r="B19" s="18">
        <f>Abfrage!B37/1000</f>
        <v>3345.9650299999985</v>
      </c>
      <c r="C19" s="18">
        <f>Abfrage!C37/1000</f>
        <v>1546.0158900000017</v>
      </c>
      <c r="D19" s="18">
        <f>Abfrage!D37/1000</f>
        <v>-1534.1118499999866</v>
      </c>
      <c r="E19" s="18">
        <f>Abfrage!E37/1000</f>
        <v>-2231.7089400000136</v>
      </c>
      <c r="F19" s="18" t="e">
        <f>Abfrage!F37/1000</f>
        <v>#DIV/0!</v>
      </c>
      <c r="G19" s="18">
        <f>Abfrage!G37/1000</f>
        <v>281.5400325</v>
      </c>
    </row>
    <row r="21" spans="2:6" ht="12.75">
      <c r="B21">
        <f>+Abfrage!B61</f>
        <v>2000</v>
      </c>
      <c r="C21">
        <f>+Abfrage!C61</f>
        <v>2001</v>
      </c>
      <c r="D21">
        <f>+Abfrage!D61</f>
        <v>2002</v>
      </c>
      <c r="E21">
        <f>+Abfrage!E61</f>
        <v>2003</v>
      </c>
      <c r="F21">
        <f>+Abfrage!F61</f>
        <v>2004</v>
      </c>
    </row>
    <row r="22" spans="1:7" ht="12.75">
      <c r="A22" t="s">
        <v>213</v>
      </c>
      <c r="B22" s="18">
        <f>+Abfrage!B15/1000</f>
        <v>-33907.41427999998</v>
      </c>
      <c r="C22" s="18">
        <f>+Abfrage!C15/1000</f>
        <v>-34101.4665</v>
      </c>
      <c r="D22" s="18">
        <f>+Abfrage!D15/1000</f>
        <v>-36300.4618</v>
      </c>
      <c r="E22" s="18">
        <f>+Abfrage!E15/1000</f>
        <v>-35658.66595000001</v>
      </c>
      <c r="F22" s="18" t="e">
        <f>+Abfrage!F15/1000</f>
        <v>#DIV/0!</v>
      </c>
      <c r="G22" s="1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DO65"/>
  <sheetViews>
    <sheetView workbookViewId="0" topLeftCell="A1">
      <pane xSplit="6" ySplit="2" topLeftCell="CB48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9" width="12.140625" style="0" customWidth="1"/>
    <col min="40" max="40" width="12.57421875" style="0" bestFit="1" customWidth="1"/>
    <col min="41" max="51" width="12.57421875" style="0" customWidth="1"/>
    <col min="52" max="71" width="11.28125" style="0" customWidth="1"/>
    <col min="72" max="81" width="12.28125" style="0" customWidth="1"/>
    <col min="82" max="82" width="13.8515625" style="0" customWidth="1"/>
    <col min="83" max="83" width="14.140625" style="0" customWidth="1"/>
    <col min="84" max="84" width="13.7109375" style="0" customWidth="1"/>
    <col min="85" max="85" width="12.57421875" style="0" customWidth="1"/>
    <col min="86" max="86" width="13.421875" style="0" customWidth="1"/>
    <col min="87" max="88" width="13.140625" style="0" bestFit="1" customWidth="1"/>
    <col min="89" max="89" width="13.140625" style="0" customWidth="1"/>
    <col min="90" max="90" width="12.421875" style="0" bestFit="1" customWidth="1"/>
    <col min="91" max="96" width="12.421875" style="0" customWidth="1"/>
    <col min="97" max="97" width="14.28125" style="0" customWidth="1"/>
    <col min="98" max="116" width="12.421875" style="0" customWidth="1"/>
    <col min="117" max="117" width="11.57421875" style="0" bestFit="1" customWidth="1"/>
  </cols>
  <sheetData>
    <row r="1" spans="1:118" s="2" customFormat="1" ht="15.75" customHeight="1" thickBot="1">
      <c r="A1" s="46"/>
      <c r="B1" s="22" t="s">
        <v>71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1"/>
    </row>
    <row r="2" spans="1:118" s="1" customFormat="1" ht="89.25" customHeight="1">
      <c r="A2" s="47"/>
      <c r="B2" s="43" t="s">
        <v>73</v>
      </c>
      <c r="C2" s="19" t="s">
        <v>37</v>
      </c>
      <c r="D2" s="54" t="s">
        <v>68</v>
      </c>
      <c r="E2" s="19" t="s">
        <v>52</v>
      </c>
      <c r="F2" s="131" t="s">
        <v>216</v>
      </c>
      <c r="G2" s="126" t="s">
        <v>76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33"/>
    </row>
    <row r="3" spans="1:118" s="5" customFormat="1" ht="12.75" customHeight="1">
      <c r="A3" s="48" t="s">
        <v>38</v>
      </c>
      <c r="B3" s="39">
        <v>167</v>
      </c>
      <c r="C3" s="6">
        <v>349229</v>
      </c>
      <c r="D3" s="61">
        <v>2091.19</v>
      </c>
      <c r="E3" s="61">
        <v>60.65</v>
      </c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>
        <f aca="true" t="shared" si="30" ref="DF3:DF14">CS3/B3</f>
        <v>0</v>
      </c>
      <c r="DG3" s="76">
        <f aca="true" t="shared" si="31" ref="DG3:DG14">CH3/B3</f>
        <v>0</v>
      </c>
      <c r="DH3" s="76">
        <f aca="true" t="shared" si="32" ref="DH3:DH14">DE3/B3</f>
        <v>0</v>
      </c>
      <c r="DI3" s="77">
        <f aca="true" t="shared" si="33" ref="DI3:DI14">CZ3/B3</f>
        <v>0</v>
      </c>
      <c r="DJ3" s="72">
        <f aca="true" t="shared" si="34" ref="DJ3:DJ14">DB3/B3</f>
        <v>0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4">
        <v>1897</v>
      </c>
      <c r="C4" s="36">
        <v>5037765</v>
      </c>
      <c r="D4" s="64">
        <v>2655.65</v>
      </c>
      <c r="E4" s="64">
        <v>77.02</v>
      </c>
      <c r="F4" s="124">
        <v>12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>
        <f t="shared" si="30"/>
        <v>0</v>
      </c>
      <c r="DG4" s="76">
        <f t="shared" si="31"/>
        <v>0</v>
      </c>
      <c r="DH4" s="76">
        <f t="shared" si="32"/>
        <v>0</v>
      </c>
      <c r="DI4" s="77">
        <f t="shared" si="33"/>
        <v>0</v>
      </c>
      <c r="DJ4" s="72">
        <f t="shared" si="34"/>
        <v>0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39">
        <v>463</v>
      </c>
      <c r="C5" s="4">
        <v>1532136</v>
      </c>
      <c r="D5" s="66">
        <v>3309.15</v>
      </c>
      <c r="E5" s="66">
        <v>95.97</v>
      </c>
      <c r="F5" s="8">
        <v>12</v>
      </c>
      <c r="G5" s="129">
        <v>299356.8</v>
      </c>
      <c r="H5" s="41">
        <v>84622.4</v>
      </c>
      <c r="I5" s="41">
        <v>40065.65</v>
      </c>
      <c r="J5" s="41">
        <v>0</v>
      </c>
      <c r="K5" s="41">
        <v>59191</v>
      </c>
      <c r="L5" s="41">
        <v>0</v>
      </c>
      <c r="M5" s="41">
        <f t="shared" si="0"/>
        <v>59191</v>
      </c>
      <c r="N5" s="41">
        <v>0</v>
      </c>
      <c r="O5" s="41">
        <v>82863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566098.85</v>
      </c>
      <c r="Z5" s="41">
        <v>146000</v>
      </c>
      <c r="AA5" s="41">
        <v>208091.55</v>
      </c>
      <c r="AB5" s="41">
        <v>63729.55</v>
      </c>
      <c r="AC5" s="41">
        <v>60292.75</v>
      </c>
      <c r="AD5" s="41">
        <v>0</v>
      </c>
      <c r="AE5" s="41">
        <f t="shared" si="3"/>
        <v>478113.85</v>
      </c>
      <c r="AF5" s="41">
        <v>0</v>
      </c>
      <c r="AG5" s="41">
        <v>0</v>
      </c>
      <c r="AH5" s="41">
        <v>0</v>
      </c>
      <c r="AI5" s="41">
        <v>56853.35</v>
      </c>
      <c r="AJ5" s="41">
        <v>0</v>
      </c>
      <c r="AK5" s="41">
        <v>0</v>
      </c>
      <c r="AL5" s="41">
        <v>129932.7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664899.9</v>
      </c>
      <c r="AV5" s="4">
        <v>98801.05</v>
      </c>
      <c r="AW5" s="4">
        <v>0</v>
      </c>
      <c r="AX5" s="4">
        <f t="shared" si="6"/>
        <v>-4.3655745685100555E-11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32667</v>
      </c>
      <c r="BF5" s="41">
        <f t="shared" si="7"/>
        <v>32667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32667</v>
      </c>
      <c r="BS5" s="41">
        <f t="shared" si="9"/>
        <v>0</v>
      </c>
      <c r="BT5" s="4">
        <v>1285762.5</v>
      </c>
      <c r="BU5" s="4">
        <v>0</v>
      </c>
      <c r="BV5" s="4">
        <v>0</v>
      </c>
      <c r="BW5" s="4">
        <v>169876.95</v>
      </c>
      <c r="BX5" s="4">
        <f t="shared" si="10"/>
        <v>1455639.45</v>
      </c>
      <c r="BY5" s="4">
        <v>1295639.45</v>
      </c>
      <c r="BZ5" s="4">
        <v>160000</v>
      </c>
      <c r="CA5" s="4">
        <v>0</v>
      </c>
      <c r="CB5" s="4">
        <f t="shared" si="11"/>
        <v>1455639.45</v>
      </c>
      <c r="CC5" s="4">
        <f t="shared" si="12"/>
        <v>0</v>
      </c>
      <c r="CD5" s="70">
        <f t="shared" si="13"/>
        <v>157992.05</v>
      </c>
      <c r="CE5" s="72">
        <f t="shared" si="14"/>
        <v>157992.05</v>
      </c>
      <c r="CF5" s="72">
        <f t="shared" si="15"/>
        <v>32667</v>
      </c>
      <c r="CG5" s="72">
        <f t="shared" si="35"/>
        <v>664899.9</v>
      </c>
      <c r="CH5" s="72">
        <f t="shared" si="16"/>
        <v>40065.65</v>
      </c>
      <c r="CI5" s="35">
        <f t="shared" si="17"/>
        <v>99256.65</v>
      </c>
      <c r="CJ5" s="57">
        <f t="shared" si="36"/>
        <v>4.836441975081887</v>
      </c>
      <c r="CK5" s="57">
        <f t="shared" si="37"/>
        <v>4.836441975081887</v>
      </c>
      <c r="CL5" s="148">
        <f t="shared" si="38"/>
        <v>0.23761779780685782</v>
      </c>
      <c r="CM5" s="148">
        <f t="shared" si="39"/>
        <v>0.23761779780685782</v>
      </c>
      <c r="CN5" s="148">
        <f t="shared" si="40"/>
        <v>0.06025816818441392</v>
      </c>
      <c r="CO5" s="148">
        <f t="shared" si="41"/>
        <v>0.14928059095812768</v>
      </c>
      <c r="CP5" s="148">
        <f t="shared" si="42"/>
        <v>1</v>
      </c>
      <c r="CQ5" s="148">
        <f t="shared" si="43"/>
        <v>1</v>
      </c>
      <c r="CR5" s="149">
        <f t="shared" si="44"/>
        <v>-0.06251548732990017</v>
      </c>
      <c r="CS5" s="72">
        <f t="shared" si="45"/>
        <v>-9876.949999999953</v>
      </c>
      <c r="CT5" s="76">
        <f t="shared" si="18"/>
        <v>506907.85</v>
      </c>
      <c r="CU5" s="76">
        <f t="shared" si="19"/>
        <v>664899.9</v>
      </c>
      <c r="CV5" s="76">
        <f t="shared" si="20"/>
        <v>157992.05000000005</v>
      </c>
      <c r="CW5" s="76">
        <f t="shared" si="21"/>
        <v>0</v>
      </c>
      <c r="CX5" s="76">
        <f t="shared" si="22"/>
        <v>157992.05000000005</v>
      </c>
      <c r="CY5" s="76">
        <f t="shared" si="23"/>
        <v>98801.05000000005</v>
      </c>
      <c r="CZ5" s="76">
        <f t="shared" si="24"/>
        <v>32667</v>
      </c>
      <c r="DA5" s="76">
        <f t="shared" si="25"/>
        <v>59191</v>
      </c>
      <c r="DB5" s="76">
        <f t="shared" si="26"/>
        <v>125325.05000000005</v>
      </c>
      <c r="DC5" s="76">
        <f t="shared" si="27"/>
        <v>-59191</v>
      </c>
      <c r="DD5" s="76">
        <f t="shared" si="28"/>
        <v>98801.05000000005</v>
      </c>
      <c r="DE5" s="76">
        <f t="shared" si="29"/>
        <v>417821.1</v>
      </c>
      <c r="DF5" s="76">
        <f t="shared" si="30"/>
        <v>-21.332505399567935</v>
      </c>
      <c r="DG5" s="76">
        <f t="shared" si="31"/>
        <v>86.53488120950324</v>
      </c>
      <c r="DH5" s="76">
        <f t="shared" si="32"/>
        <v>902.4213822894168</v>
      </c>
      <c r="DI5" s="77">
        <f t="shared" si="33"/>
        <v>70.55507559395248</v>
      </c>
      <c r="DJ5" s="72">
        <f t="shared" si="34"/>
        <v>270.680453563715</v>
      </c>
      <c r="DK5" s="151">
        <f aca="true" t="shared" si="46" ref="DK5:DK31">CA5-BW5-BU5</f>
        <v>-169876.95</v>
      </c>
      <c r="DL5" s="72">
        <v>9</v>
      </c>
      <c r="DM5" s="72">
        <v>24</v>
      </c>
      <c r="DN5" s="63">
        <v>0</v>
      </c>
    </row>
    <row r="6" spans="1:118" ht="12.75">
      <c r="A6" s="49" t="s">
        <v>1</v>
      </c>
      <c r="B6" s="44">
        <v>267</v>
      </c>
      <c r="C6" s="36">
        <v>693729</v>
      </c>
      <c r="D6" s="64">
        <v>2598.23</v>
      </c>
      <c r="E6" s="64">
        <v>75.35</v>
      </c>
      <c r="F6" s="124">
        <v>8</v>
      </c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>
        <f t="shared" si="30"/>
        <v>0</v>
      </c>
      <c r="DG6" s="76">
        <f t="shared" si="31"/>
        <v>0</v>
      </c>
      <c r="DH6" s="76">
        <f t="shared" si="32"/>
        <v>0</v>
      </c>
      <c r="DI6" s="77">
        <f t="shared" si="33"/>
        <v>0</v>
      </c>
      <c r="DJ6" s="72">
        <f t="shared" si="34"/>
        <v>0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39">
        <v>778</v>
      </c>
      <c r="C7" s="4">
        <v>2520132</v>
      </c>
      <c r="D7" s="66">
        <v>3239.24</v>
      </c>
      <c r="E7" s="66">
        <v>93.94</v>
      </c>
      <c r="F7" s="8">
        <v>10</v>
      </c>
      <c r="G7" s="143">
        <f>(G50/($B$50)*$B$7)+(G48)</f>
        <v>959677.1089391492</v>
      </c>
      <c r="H7" s="143">
        <f aca="true" t="shared" si="47" ref="H7:BU7">(H50/($B$50)*$B$7)+(H48)</f>
        <v>232162.63478729135</v>
      </c>
      <c r="I7" s="143">
        <f t="shared" si="47"/>
        <v>24922.775417339795</v>
      </c>
      <c r="J7" s="143">
        <f t="shared" si="47"/>
        <v>0</v>
      </c>
      <c r="K7" s="143">
        <f t="shared" si="47"/>
        <v>229241.6</v>
      </c>
      <c r="L7" s="143">
        <f t="shared" si="47"/>
        <v>0</v>
      </c>
      <c r="M7" s="41">
        <f t="shared" si="0"/>
        <v>229241.6</v>
      </c>
      <c r="N7" s="143">
        <f t="shared" si="47"/>
        <v>0</v>
      </c>
      <c r="O7" s="143">
        <f t="shared" si="47"/>
        <v>0</v>
      </c>
      <c r="P7" s="143">
        <f t="shared" si="47"/>
        <v>0</v>
      </c>
      <c r="Q7" s="143">
        <f t="shared" si="47"/>
        <v>0</v>
      </c>
      <c r="R7" s="143">
        <f t="shared" si="47"/>
        <v>0</v>
      </c>
      <c r="S7" s="143">
        <f t="shared" si="47"/>
        <v>0</v>
      </c>
      <c r="T7" s="143">
        <f t="shared" si="47"/>
        <v>0</v>
      </c>
      <c r="U7" s="143">
        <f t="shared" si="47"/>
        <v>0</v>
      </c>
      <c r="V7" s="143">
        <f t="shared" si="47"/>
        <v>0</v>
      </c>
      <c r="W7" s="41">
        <f t="shared" si="1"/>
        <v>0</v>
      </c>
      <c r="X7" s="143">
        <f t="shared" si="47"/>
        <v>551.4080236941303</v>
      </c>
      <c r="Y7" s="41">
        <f t="shared" si="2"/>
        <v>1446555.5271674744</v>
      </c>
      <c r="Z7" s="143">
        <f t="shared" si="47"/>
        <v>247470</v>
      </c>
      <c r="AA7" s="143">
        <f t="shared" si="47"/>
        <v>355591.5</v>
      </c>
      <c r="AB7" s="143">
        <f t="shared" si="47"/>
        <v>0</v>
      </c>
      <c r="AC7" s="143">
        <f t="shared" si="47"/>
        <v>9185.3</v>
      </c>
      <c r="AD7" s="143">
        <f t="shared" si="47"/>
        <v>0</v>
      </c>
      <c r="AE7" s="41">
        <f t="shared" si="3"/>
        <v>612246.8</v>
      </c>
      <c r="AF7" s="143">
        <f t="shared" si="47"/>
        <v>0</v>
      </c>
      <c r="AG7" s="143">
        <f t="shared" si="47"/>
        <v>0</v>
      </c>
      <c r="AH7" s="143">
        <f t="shared" si="47"/>
        <v>0</v>
      </c>
      <c r="AI7" s="143">
        <f t="shared" si="47"/>
        <v>0</v>
      </c>
      <c r="AJ7" s="143">
        <f t="shared" si="47"/>
        <v>125393.32256327411</v>
      </c>
      <c r="AK7" s="143">
        <f t="shared" si="47"/>
        <v>176020.8451265482</v>
      </c>
      <c r="AL7" s="143">
        <f t="shared" si="47"/>
        <v>197534.4094776521</v>
      </c>
      <c r="AM7" s="143">
        <f t="shared" si="47"/>
        <v>0</v>
      </c>
      <c r="AN7" s="143">
        <f t="shared" si="47"/>
        <v>0</v>
      </c>
      <c r="AO7" s="143">
        <f t="shared" si="47"/>
        <v>0</v>
      </c>
      <c r="AP7" s="143">
        <f t="shared" si="47"/>
        <v>0</v>
      </c>
      <c r="AQ7" s="143">
        <f t="shared" si="47"/>
        <v>0</v>
      </c>
      <c r="AR7" s="143">
        <f t="shared" si="47"/>
        <v>0</v>
      </c>
      <c r="AS7" s="4">
        <f t="shared" si="4"/>
        <v>0</v>
      </c>
      <c r="AT7" s="143">
        <f t="shared" si="47"/>
        <v>0</v>
      </c>
      <c r="AU7" s="4">
        <f t="shared" si="5"/>
        <v>1111195.3771674742</v>
      </c>
      <c r="AV7" s="143">
        <f t="shared" si="47"/>
        <v>0</v>
      </c>
      <c r="AW7" s="143">
        <f t="shared" si="47"/>
        <v>335360.15</v>
      </c>
      <c r="AX7" s="4">
        <f t="shared" si="6"/>
        <v>0</v>
      </c>
      <c r="AY7" s="143">
        <f t="shared" si="47"/>
        <v>0</v>
      </c>
      <c r="AZ7" s="143">
        <f t="shared" si="47"/>
        <v>0</v>
      </c>
      <c r="BA7" s="143">
        <f t="shared" si="47"/>
        <v>0</v>
      </c>
      <c r="BB7" s="143">
        <f t="shared" si="47"/>
        <v>0</v>
      </c>
      <c r="BC7" s="143">
        <f t="shared" si="47"/>
        <v>0</v>
      </c>
      <c r="BD7" s="143">
        <f t="shared" si="47"/>
        <v>0</v>
      </c>
      <c r="BE7" s="143">
        <f t="shared" si="47"/>
        <v>0</v>
      </c>
      <c r="BF7" s="41">
        <f t="shared" si="7"/>
        <v>0</v>
      </c>
      <c r="BG7" s="143">
        <f t="shared" si="47"/>
        <v>0</v>
      </c>
      <c r="BH7" s="143">
        <f t="shared" si="47"/>
        <v>0</v>
      </c>
      <c r="BI7" s="143">
        <f t="shared" si="47"/>
        <v>0</v>
      </c>
      <c r="BJ7" s="143">
        <f t="shared" si="47"/>
        <v>0</v>
      </c>
      <c r="BK7" s="143">
        <f t="shared" si="47"/>
        <v>0</v>
      </c>
      <c r="BL7" s="143">
        <f t="shared" si="47"/>
        <v>0</v>
      </c>
      <c r="BM7" s="143">
        <f t="shared" si="47"/>
        <v>0</v>
      </c>
      <c r="BN7" s="143">
        <f t="shared" si="47"/>
        <v>0</v>
      </c>
      <c r="BO7" s="41">
        <f t="shared" si="8"/>
        <v>0</v>
      </c>
      <c r="BP7" s="143">
        <f t="shared" si="47"/>
        <v>0</v>
      </c>
      <c r="BQ7" s="143">
        <f t="shared" si="47"/>
        <v>0</v>
      </c>
      <c r="BR7" s="143">
        <f t="shared" si="47"/>
        <v>0</v>
      </c>
      <c r="BS7" s="41">
        <f t="shared" si="9"/>
        <v>0</v>
      </c>
      <c r="BT7" s="143">
        <f t="shared" si="47"/>
        <v>240010.62</v>
      </c>
      <c r="BU7" s="143">
        <f t="shared" si="47"/>
        <v>0</v>
      </c>
      <c r="BV7" s="143">
        <f aca="true" t="shared" si="48" ref="BV7:CA7">(BV50/($B$50)*$B$7)+(BV48)</f>
        <v>0</v>
      </c>
      <c r="BW7" s="143">
        <f t="shared" si="48"/>
        <v>335360.15</v>
      </c>
      <c r="BX7" s="4">
        <f t="shared" si="10"/>
        <v>575370.77</v>
      </c>
      <c r="BY7" s="143">
        <f t="shared" si="48"/>
        <v>472308.4</v>
      </c>
      <c r="BZ7" s="143">
        <f t="shared" si="48"/>
        <v>0</v>
      </c>
      <c r="CA7" s="143">
        <f t="shared" si="48"/>
        <v>103062.37</v>
      </c>
      <c r="CB7" s="4">
        <f t="shared" si="11"/>
        <v>575370.77</v>
      </c>
      <c r="CC7" s="4">
        <f t="shared" si="12"/>
        <v>0</v>
      </c>
      <c r="CD7" s="70">
        <f t="shared" si="13"/>
        <v>-106118.55000000002</v>
      </c>
      <c r="CE7" s="72">
        <f t="shared" si="14"/>
        <v>-106118.55000000002</v>
      </c>
      <c r="CF7" s="72">
        <f t="shared" si="15"/>
        <v>0</v>
      </c>
      <c r="CG7" s="72">
        <f t="shared" si="35"/>
        <v>1111195.3771674742</v>
      </c>
      <c r="CH7" s="72">
        <f t="shared" si="16"/>
        <v>24922.775417339795</v>
      </c>
      <c r="CI7" s="35">
        <f t="shared" si="17"/>
        <v>254164.3754173398</v>
      </c>
      <c r="CJ7" s="57" t="str">
        <f t="shared" si="36"/>
        <v>-</v>
      </c>
      <c r="CK7" s="57" t="str">
        <f t="shared" si="37"/>
        <v>-</v>
      </c>
      <c r="CL7" s="148">
        <f t="shared" si="38"/>
        <v>-0.09549945237398726</v>
      </c>
      <c r="CM7" s="148">
        <f t="shared" si="39"/>
        <v>-0.09549945237398726</v>
      </c>
      <c r="CN7" s="148">
        <f t="shared" si="40"/>
        <v>0.02242879688796937</v>
      </c>
      <c r="CO7" s="148">
        <f t="shared" si="41"/>
        <v>0.2287305910732144</v>
      </c>
      <c r="CP7" s="148">
        <f t="shared" si="42"/>
        <v>1</v>
      </c>
      <c r="CQ7" s="148">
        <f t="shared" si="43"/>
        <v>1</v>
      </c>
      <c r="CR7" s="149">
        <f t="shared" si="44"/>
        <v>2.1890402761816854</v>
      </c>
      <c r="CS7" s="72">
        <f t="shared" si="45"/>
        <v>-232297.78000000003</v>
      </c>
      <c r="CT7" s="76">
        <f t="shared" si="18"/>
        <v>1217313.9271674743</v>
      </c>
      <c r="CU7" s="76">
        <f t="shared" si="19"/>
        <v>1111195.3771674742</v>
      </c>
      <c r="CV7" s="76">
        <f t="shared" si="20"/>
        <v>-106118.55000000005</v>
      </c>
      <c r="CW7" s="76">
        <f t="shared" si="21"/>
        <v>0</v>
      </c>
      <c r="CX7" s="76">
        <f t="shared" si="22"/>
        <v>-106118.55000000005</v>
      </c>
      <c r="CY7" s="76">
        <f t="shared" si="23"/>
        <v>-335360.15</v>
      </c>
      <c r="CZ7" s="76">
        <f t="shared" si="24"/>
        <v>0</v>
      </c>
      <c r="DA7" s="76">
        <f t="shared" si="25"/>
        <v>229241.6</v>
      </c>
      <c r="DB7" s="76">
        <f t="shared" si="26"/>
        <v>-106118.55000000002</v>
      </c>
      <c r="DC7" s="76">
        <f t="shared" si="27"/>
        <v>-229241.6</v>
      </c>
      <c r="DD7" s="76">
        <f t="shared" si="28"/>
        <v>-335360.15</v>
      </c>
      <c r="DE7" s="76">
        <f t="shared" si="29"/>
        <v>603061.5</v>
      </c>
      <c r="DF7" s="76">
        <f t="shared" si="30"/>
        <v>-298.58326478149104</v>
      </c>
      <c r="DG7" s="76">
        <f t="shared" si="31"/>
        <v>32.03441570352159</v>
      </c>
      <c r="DH7" s="76">
        <f t="shared" si="32"/>
        <v>775.1433161953728</v>
      </c>
      <c r="DI7" s="77">
        <f t="shared" si="33"/>
        <v>0</v>
      </c>
      <c r="DJ7" s="72">
        <f t="shared" si="34"/>
        <v>-136.39916452442162</v>
      </c>
      <c r="DK7" s="151">
        <f t="shared" si="46"/>
        <v>-232297.78000000003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4">
        <v>683</v>
      </c>
      <c r="C8" s="36">
        <v>1784997</v>
      </c>
      <c r="D8" s="64">
        <v>2613.47</v>
      </c>
      <c r="E8" s="64">
        <v>75.8</v>
      </c>
      <c r="F8" s="124">
        <v>10</v>
      </c>
      <c r="G8" s="130">
        <f>(G49/($B$49)*$B$8)+(G50/($B$50)*$B$8)+(G46)</f>
        <v>874351.662691901</v>
      </c>
      <c r="H8" s="130">
        <f aca="true" t="shared" si="49" ref="H8:BU8">(H49/($B$49)*$B$8)+(H50/($B$50)*$B$8)+(H46)</f>
        <v>175332.37937004634</v>
      </c>
      <c r="I8" s="130">
        <f t="shared" si="49"/>
        <v>40172.27241886647</v>
      </c>
      <c r="J8" s="130">
        <f t="shared" si="49"/>
        <v>0</v>
      </c>
      <c r="K8" s="130">
        <f t="shared" si="49"/>
        <v>143000</v>
      </c>
      <c r="L8" s="130">
        <f t="shared" si="49"/>
        <v>0</v>
      </c>
      <c r="M8" s="41">
        <f t="shared" si="0"/>
        <v>143000</v>
      </c>
      <c r="N8" s="130">
        <f t="shared" si="49"/>
        <v>0</v>
      </c>
      <c r="O8" s="130">
        <f t="shared" si="49"/>
        <v>345027.00454124185</v>
      </c>
      <c r="P8" s="130">
        <f t="shared" si="49"/>
        <v>0</v>
      </c>
      <c r="Q8" s="130">
        <f t="shared" si="49"/>
        <v>0</v>
      </c>
      <c r="R8" s="130">
        <f t="shared" si="49"/>
        <v>0</v>
      </c>
      <c r="S8" s="130">
        <f t="shared" si="49"/>
        <v>0</v>
      </c>
      <c r="T8" s="130">
        <f t="shared" si="49"/>
        <v>0</v>
      </c>
      <c r="U8" s="130">
        <f t="shared" si="49"/>
        <v>0</v>
      </c>
      <c r="V8" s="130">
        <f t="shared" si="49"/>
        <v>0</v>
      </c>
      <c r="W8" s="41">
        <f t="shared" si="1"/>
        <v>0</v>
      </c>
      <c r="X8" s="130">
        <f t="shared" si="49"/>
        <v>1046.2382482084422</v>
      </c>
      <c r="Y8" s="41">
        <f t="shared" si="2"/>
        <v>1578929.557270264</v>
      </c>
      <c r="Z8" s="130">
        <f t="shared" si="49"/>
        <v>215932.65</v>
      </c>
      <c r="AA8" s="130">
        <f t="shared" si="49"/>
        <v>29218.2</v>
      </c>
      <c r="AB8" s="130">
        <f t="shared" si="49"/>
        <v>0</v>
      </c>
      <c r="AC8" s="130">
        <f t="shared" si="49"/>
        <v>14780.5</v>
      </c>
      <c r="AD8" s="130">
        <f t="shared" si="49"/>
        <v>0</v>
      </c>
      <c r="AE8" s="41">
        <f t="shared" si="3"/>
        <v>259931.35</v>
      </c>
      <c r="AF8" s="130">
        <f t="shared" si="49"/>
        <v>0</v>
      </c>
      <c r="AG8" s="130">
        <f t="shared" si="49"/>
        <v>640.15</v>
      </c>
      <c r="AH8" s="130">
        <f t="shared" si="49"/>
        <v>0</v>
      </c>
      <c r="AI8" s="130">
        <f t="shared" si="49"/>
        <v>41081.79578313253</v>
      </c>
      <c r="AJ8" s="130">
        <f t="shared" si="49"/>
        <v>324889.0358566115</v>
      </c>
      <c r="AK8" s="130">
        <f t="shared" si="49"/>
        <v>315533.92708857055</v>
      </c>
      <c r="AL8" s="130">
        <f t="shared" si="49"/>
        <v>399096.9343621535</v>
      </c>
      <c r="AM8" s="130">
        <f t="shared" si="49"/>
        <v>0</v>
      </c>
      <c r="AN8" s="130">
        <f t="shared" si="49"/>
        <v>0</v>
      </c>
      <c r="AO8" s="130">
        <f t="shared" si="49"/>
        <v>0</v>
      </c>
      <c r="AP8" s="130">
        <f t="shared" si="49"/>
        <v>0</v>
      </c>
      <c r="AQ8" s="130">
        <f t="shared" si="49"/>
        <v>0</v>
      </c>
      <c r="AR8" s="130">
        <f t="shared" si="49"/>
        <v>0</v>
      </c>
      <c r="AS8" s="4">
        <f t="shared" si="4"/>
        <v>0</v>
      </c>
      <c r="AT8" s="130">
        <f t="shared" si="49"/>
        <v>10032.314179796107</v>
      </c>
      <c r="AU8" s="4">
        <f t="shared" si="5"/>
        <v>1351205.507270264</v>
      </c>
      <c r="AV8" s="130">
        <f t="shared" si="49"/>
        <v>0</v>
      </c>
      <c r="AW8" s="130">
        <f t="shared" si="49"/>
        <v>227724.05</v>
      </c>
      <c r="AX8" s="4">
        <f t="shared" si="6"/>
        <v>0</v>
      </c>
      <c r="AY8" s="130">
        <f t="shared" si="49"/>
        <v>0</v>
      </c>
      <c r="AZ8" s="130">
        <f t="shared" si="49"/>
        <v>0</v>
      </c>
      <c r="BA8" s="130">
        <f t="shared" si="49"/>
        <v>0</v>
      </c>
      <c r="BB8" s="130">
        <f t="shared" si="49"/>
        <v>0</v>
      </c>
      <c r="BC8" s="130">
        <f t="shared" si="49"/>
        <v>0</v>
      </c>
      <c r="BD8" s="130">
        <f t="shared" si="49"/>
        <v>0</v>
      </c>
      <c r="BE8" s="130">
        <f t="shared" si="49"/>
        <v>0</v>
      </c>
      <c r="BF8" s="41">
        <f t="shared" si="7"/>
        <v>0</v>
      </c>
      <c r="BG8" s="130">
        <f t="shared" si="49"/>
        <v>0</v>
      </c>
      <c r="BH8" s="130">
        <f t="shared" si="49"/>
        <v>0</v>
      </c>
      <c r="BI8" s="130">
        <f t="shared" si="49"/>
        <v>0</v>
      </c>
      <c r="BJ8" s="130">
        <f t="shared" si="49"/>
        <v>0</v>
      </c>
      <c r="BK8" s="130">
        <f t="shared" si="49"/>
        <v>0</v>
      </c>
      <c r="BL8" s="130">
        <f t="shared" si="49"/>
        <v>0</v>
      </c>
      <c r="BM8" s="130">
        <f t="shared" si="49"/>
        <v>0</v>
      </c>
      <c r="BN8" s="130">
        <f t="shared" si="49"/>
        <v>0</v>
      </c>
      <c r="BO8" s="41">
        <f t="shared" si="8"/>
        <v>0</v>
      </c>
      <c r="BP8" s="130">
        <f t="shared" si="49"/>
        <v>0</v>
      </c>
      <c r="BQ8" s="130">
        <f t="shared" si="49"/>
        <v>0</v>
      </c>
      <c r="BR8" s="130">
        <f t="shared" si="49"/>
        <v>0</v>
      </c>
      <c r="BS8" s="41">
        <f t="shared" si="9"/>
        <v>0</v>
      </c>
      <c r="BT8" s="130">
        <f t="shared" si="49"/>
        <v>20954</v>
      </c>
      <c r="BU8" s="130">
        <f t="shared" si="49"/>
        <v>551668.9</v>
      </c>
      <c r="BV8" s="130">
        <f aca="true" t="shared" si="50" ref="BV8:CA8">(BV49/($B$49)*$B$8)+(BV50/($B$50)*$B$8)+(BV46)</f>
        <v>0</v>
      </c>
      <c r="BW8" s="130">
        <f t="shared" si="50"/>
        <v>154560.8</v>
      </c>
      <c r="BX8" s="4">
        <f t="shared" si="10"/>
        <v>727183.7</v>
      </c>
      <c r="BY8" s="130">
        <f t="shared" si="50"/>
        <v>727183.7</v>
      </c>
      <c r="BZ8" s="130">
        <f t="shared" si="50"/>
        <v>0</v>
      </c>
      <c r="CA8" s="130">
        <f t="shared" si="50"/>
        <v>0</v>
      </c>
      <c r="CB8" s="4">
        <f t="shared" si="11"/>
        <v>727183.7</v>
      </c>
      <c r="CC8" s="4">
        <f t="shared" si="12"/>
        <v>0</v>
      </c>
      <c r="CD8" s="70">
        <f t="shared" si="13"/>
        <v>-84724.04999999999</v>
      </c>
      <c r="CE8" s="72">
        <f t="shared" si="14"/>
        <v>-84724.04999999999</v>
      </c>
      <c r="CF8" s="72">
        <f t="shared" si="15"/>
        <v>0</v>
      </c>
      <c r="CG8" s="72">
        <f t="shared" si="35"/>
        <v>1341173.193090468</v>
      </c>
      <c r="CH8" s="72">
        <f t="shared" si="16"/>
        <v>39532.12241886647</v>
      </c>
      <c r="CI8" s="35">
        <f t="shared" si="17"/>
        <v>182532.12241886646</v>
      </c>
      <c r="CJ8" s="57" t="str">
        <f t="shared" si="36"/>
        <v>-</v>
      </c>
      <c r="CK8" s="57" t="str">
        <f t="shared" si="37"/>
        <v>-</v>
      </c>
      <c r="CL8" s="148">
        <f t="shared" si="38"/>
        <v>-0.0631715951649542</v>
      </c>
      <c r="CM8" s="148">
        <f t="shared" si="39"/>
        <v>-0.0631715951649542</v>
      </c>
      <c r="CN8" s="148">
        <f t="shared" si="40"/>
        <v>0.029475777343694536</v>
      </c>
      <c r="CO8" s="148">
        <f t="shared" si="41"/>
        <v>0.1360988449211823</v>
      </c>
      <c r="CP8" s="148">
        <f t="shared" si="42"/>
        <v>0.2058534648664997</v>
      </c>
      <c r="CQ8" s="148">
        <f t="shared" si="43"/>
        <v>0.2058534648664997</v>
      </c>
      <c r="CR8" s="149">
        <f t="shared" si="44"/>
        <v>8.335646135896479</v>
      </c>
      <c r="CS8" s="72">
        <f t="shared" si="45"/>
        <v>-706229.7</v>
      </c>
      <c r="CT8" s="76">
        <f t="shared" si="18"/>
        <v>1435929.557270264</v>
      </c>
      <c r="CU8" s="76">
        <f t="shared" si="19"/>
        <v>1351205.507270264</v>
      </c>
      <c r="CV8" s="76">
        <f t="shared" si="20"/>
        <v>-84724.05000000005</v>
      </c>
      <c r="CW8" s="76">
        <f t="shared" si="21"/>
        <v>0</v>
      </c>
      <c r="CX8" s="76">
        <f t="shared" si="22"/>
        <v>-84724.05000000005</v>
      </c>
      <c r="CY8" s="76">
        <f t="shared" si="23"/>
        <v>-227724.05000000005</v>
      </c>
      <c r="CZ8" s="76">
        <f t="shared" si="24"/>
        <v>0</v>
      </c>
      <c r="DA8" s="76">
        <f t="shared" si="25"/>
        <v>143000</v>
      </c>
      <c r="DB8" s="76">
        <f t="shared" si="26"/>
        <v>-84724.05000000005</v>
      </c>
      <c r="DC8" s="76">
        <f t="shared" si="27"/>
        <v>-143000</v>
      </c>
      <c r="DD8" s="76">
        <f t="shared" si="28"/>
        <v>-227724.05000000005</v>
      </c>
      <c r="DE8" s="76">
        <f t="shared" si="29"/>
        <v>245150.85</v>
      </c>
      <c r="DF8" s="76">
        <f t="shared" si="30"/>
        <v>-1034.0112737920936</v>
      </c>
      <c r="DG8" s="76">
        <f t="shared" si="31"/>
        <v>57.880120671839634</v>
      </c>
      <c r="DH8" s="76">
        <f t="shared" si="32"/>
        <v>358.93243045387993</v>
      </c>
      <c r="DI8" s="77">
        <f t="shared" si="33"/>
        <v>0</v>
      </c>
      <c r="DJ8" s="72">
        <f t="shared" si="34"/>
        <v>-124.04692532942906</v>
      </c>
      <c r="DK8" s="151">
        <f t="shared" si="46"/>
        <v>-706229.7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39">
        <v>2817</v>
      </c>
      <c r="C9" s="4">
        <v>10355660</v>
      </c>
      <c r="D9" s="66">
        <v>3676.13</v>
      </c>
      <c r="E9" s="66">
        <v>106.61</v>
      </c>
      <c r="F9" s="8">
        <v>10</v>
      </c>
      <c r="G9" s="129">
        <v>1679106.3</v>
      </c>
      <c r="H9" s="41">
        <v>266753.4</v>
      </c>
      <c r="I9" s="41">
        <v>34370.25</v>
      </c>
      <c r="J9" s="41">
        <v>0</v>
      </c>
      <c r="K9" s="41">
        <v>101500</v>
      </c>
      <c r="L9" s="41">
        <v>108161.95</v>
      </c>
      <c r="M9" s="41">
        <f t="shared" si="0"/>
        <v>209661.95</v>
      </c>
      <c r="N9" s="41">
        <v>0</v>
      </c>
      <c r="O9" s="41">
        <v>771732.75</v>
      </c>
      <c r="P9" s="41">
        <v>0</v>
      </c>
      <c r="Q9" s="41">
        <v>0</v>
      </c>
      <c r="R9" s="41">
        <v>0</v>
      </c>
      <c r="S9" s="41">
        <v>0</v>
      </c>
      <c r="T9" s="41">
        <v>415570</v>
      </c>
      <c r="U9" s="41">
        <v>0</v>
      </c>
      <c r="V9" s="41">
        <v>0</v>
      </c>
      <c r="W9" s="41">
        <f t="shared" si="1"/>
        <v>415570</v>
      </c>
      <c r="X9" s="41">
        <v>0</v>
      </c>
      <c r="Y9" s="41">
        <f t="shared" si="2"/>
        <v>3377194.6500000004</v>
      </c>
      <c r="Z9" s="41">
        <v>1445200.3</v>
      </c>
      <c r="AA9" s="41">
        <v>121932.55</v>
      </c>
      <c r="AB9" s="41">
        <v>0</v>
      </c>
      <c r="AC9" s="41">
        <v>201026.05</v>
      </c>
      <c r="AD9" s="41">
        <v>0</v>
      </c>
      <c r="AE9" s="41">
        <f t="shared" si="3"/>
        <v>1768158.9000000001</v>
      </c>
      <c r="AF9" s="41">
        <v>0</v>
      </c>
      <c r="AG9" s="41">
        <v>15140.65</v>
      </c>
      <c r="AH9" s="41">
        <v>0</v>
      </c>
      <c r="AI9" s="41">
        <v>12284.8</v>
      </c>
      <c r="AJ9" s="41">
        <v>812011</v>
      </c>
      <c r="AK9" s="41">
        <v>7369.15</v>
      </c>
      <c r="AL9" s="41">
        <v>766177.1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3381141.5999999996</v>
      </c>
      <c r="AV9" s="4">
        <v>3946.95</v>
      </c>
      <c r="AW9" s="4">
        <v>0</v>
      </c>
      <c r="AX9" s="4">
        <f t="shared" si="6"/>
        <v>7.448761607520282E-10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f t="shared" si="8"/>
        <v>0</v>
      </c>
      <c r="BP9" s="41">
        <v>0</v>
      </c>
      <c r="BQ9" s="41">
        <v>0</v>
      </c>
      <c r="BR9" s="41">
        <v>0</v>
      </c>
      <c r="BS9" s="41">
        <f t="shared" si="9"/>
        <v>0</v>
      </c>
      <c r="BT9" s="4">
        <v>1722303.65</v>
      </c>
      <c r="BU9" s="4">
        <v>1145004</v>
      </c>
      <c r="BV9" s="4">
        <v>0</v>
      </c>
      <c r="BW9" s="4">
        <v>0</v>
      </c>
      <c r="BX9" s="4">
        <f t="shared" si="10"/>
        <v>2867307.65</v>
      </c>
      <c r="BY9" s="4">
        <v>1706569.8</v>
      </c>
      <c r="BZ9" s="4">
        <v>771568.95</v>
      </c>
      <c r="CA9" s="4">
        <v>389168.9</v>
      </c>
      <c r="CB9" s="4">
        <f t="shared" si="11"/>
        <v>2867307.65</v>
      </c>
      <c r="CC9" s="4">
        <f t="shared" si="12"/>
        <v>0</v>
      </c>
      <c r="CD9" s="70">
        <f t="shared" si="13"/>
        <v>213608.90000000002</v>
      </c>
      <c r="CE9" s="72">
        <f t="shared" si="14"/>
        <v>629178.9</v>
      </c>
      <c r="CF9" s="72">
        <f t="shared" si="15"/>
        <v>0</v>
      </c>
      <c r="CG9" s="72">
        <f t="shared" si="35"/>
        <v>3381141.5999999996</v>
      </c>
      <c r="CH9" s="72">
        <f t="shared" si="16"/>
        <v>19229.6</v>
      </c>
      <c r="CI9" s="35">
        <f t="shared" si="17"/>
        <v>120729.6</v>
      </c>
      <c r="CJ9" s="57" t="str">
        <f t="shared" si="36"/>
        <v>-</v>
      </c>
      <c r="CK9" s="57" t="str">
        <f t="shared" si="37"/>
        <v>-</v>
      </c>
      <c r="CL9" s="148">
        <f t="shared" si="38"/>
        <v>0.0631765614312042</v>
      </c>
      <c r="CM9" s="148">
        <f t="shared" si="39"/>
        <v>0.1860847531496463</v>
      </c>
      <c r="CN9" s="148">
        <f t="shared" si="40"/>
        <v>0.005687309871908352</v>
      </c>
      <c r="CO9" s="148">
        <f t="shared" si="41"/>
        <v>0.03570675655819917</v>
      </c>
      <c r="CP9" s="148">
        <f t="shared" si="42"/>
        <v>0.15477022213483702</v>
      </c>
      <c r="CQ9" s="148">
        <f t="shared" si="43"/>
        <v>0.07492622074098784</v>
      </c>
      <c r="CR9" s="149">
        <f t="shared" si="44"/>
        <v>0.02500695748061459</v>
      </c>
      <c r="CS9" s="72">
        <f t="shared" si="45"/>
        <v>15733.84999999986</v>
      </c>
      <c r="CT9" s="76">
        <f t="shared" si="18"/>
        <v>3167532.7</v>
      </c>
      <c r="CU9" s="76">
        <f t="shared" si="19"/>
        <v>3381141.5999999996</v>
      </c>
      <c r="CV9" s="76">
        <f t="shared" si="20"/>
        <v>213608.89999999944</v>
      </c>
      <c r="CW9" s="76">
        <f t="shared" si="21"/>
        <v>0</v>
      </c>
      <c r="CX9" s="76">
        <f t="shared" si="22"/>
        <v>213608.89999999944</v>
      </c>
      <c r="CY9" s="76">
        <f t="shared" si="23"/>
        <v>3946.949999999444</v>
      </c>
      <c r="CZ9" s="76">
        <f t="shared" si="24"/>
        <v>0</v>
      </c>
      <c r="DA9" s="76">
        <f t="shared" si="25"/>
        <v>209661.95</v>
      </c>
      <c r="DB9" s="76">
        <f t="shared" si="26"/>
        <v>213608.89999999944</v>
      </c>
      <c r="DC9" s="76">
        <f t="shared" si="27"/>
        <v>-209661.95</v>
      </c>
      <c r="DD9" s="76">
        <f t="shared" si="28"/>
        <v>3946.9499999994296</v>
      </c>
      <c r="DE9" s="76">
        <f t="shared" si="29"/>
        <v>1567132.85</v>
      </c>
      <c r="DF9" s="76">
        <f t="shared" si="30"/>
        <v>5.585321263755719</v>
      </c>
      <c r="DG9" s="76">
        <f t="shared" si="31"/>
        <v>6.826269080582179</v>
      </c>
      <c r="DH9" s="76">
        <f t="shared" si="32"/>
        <v>556.3126908058218</v>
      </c>
      <c r="DI9" s="77">
        <f t="shared" si="33"/>
        <v>0</v>
      </c>
      <c r="DJ9" s="72">
        <f t="shared" si="34"/>
        <v>75.82850550230722</v>
      </c>
      <c r="DK9" s="151">
        <f t="shared" si="46"/>
        <v>-755835.1</v>
      </c>
      <c r="DL9" s="72">
        <v>61</v>
      </c>
      <c r="DM9" s="72">
        <v>210</v>
      </c>
      <c r="DN9" s="63">
        <v>0</v>
      </c>
    </row>
    <row r="10" spans="1:118" ht="12.75">
      <c r="A10" s="49" t="s">
        <v>5</v>
      </c>
      <c r="B10" s="44">
        <v>532</v>
      </c>
      <c r="C10" s="36">
        <v>1085712</v>
      </c>
      <c r="D10" s="64">
        <v>2040.81</v>
      </c>
      <c r="E10" s="64">
        <v>59.19</v>
      </c>
      <c r="F10" s="124">
        <v>12</v>
      </c>
      <c r="G10" s="130">
        <v>314151</v>
      </c>
      <c r="H10" s="40">
        <v>60075.2</v>
      </c>
      <c r="I10" s="40">
        <v>44377.3</v>
      </c>
      <c r="J10" s="40">
        <v>0</v>
      </c>
      <c r="K10" s="40">
        <v>55616</v>
      </c>
      <c r="L10" s="40">
        <v>0</v>
      </c>
      <c r="M10" s="41">
        <f t="shared" si="0"/>
        <v>55616</v>
      </c>
      <c r="N10" s="40">
        <v>0</v>
      </c>
      <c r="O10" s="40">
        <v>154043.1</v>
      </c>
      <c r="P10" s="40">
        <v>6000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634262.6</v>
      </c>
      <c r="Z10" s="40">
        <v>161136.75</v>
      </c>
      <c r="AA10" s="40">
        <v>21874.05</v>
      </c>
      <c r="AB10" s="40">
        <v>0</v>
      </c>
      <c r="AC10" s="40">
        <v>115.75</v>
      </c>
      <c r="AD10" s="40">
        <v>0</v>
      </c>
      <c r="AE10" s="41">
        <f t="shared" si="3"/>
        <v>183126.55</v>
      </c>
      <c r="AF10" s="40">
        <v>0</v>
      </c>
      <c r="AG10" s="40">
        <v>400.5</v>
      </c>
      <c r="AH10" s="40">
        <v>0</v>
      </c>
      <c r="AI10" s="40">
        <v>7846.2</v>
      </c>
      <c r="AJ10" s="40">
        <v>177869</v>
      </c>
      <c r="AK10" s="40">
        <v>0</v>
      </c>
      <c r="AL10" s="40">
        <v>259389.1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628631.3500000001</v>
      </c>
      <c r="AV10" s="36">
        <v>0</v>
      </c>
      <c r="AW10" s="36">
        <v>5631.25</v>
      </c>
      <c r="AX10" s="4">
        <f t="shared" si="6"/>
        <v>-1.1641532182693481E-10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360305.4</v>
      </c>
      <c r="BU10" s="36">
        <v>975384.15</v>
      </c>
      <c r="BV10" s="36">
        <v>0</v>
      </c>
      <c r="BW10" s="36">
        <v>0</v>
      </c>
      <c r="BX10" s="4">
        <f t="shared" si="10"/>
        <v>1335689.55</v>
      </c>
      <c r="BY10" s="36">
        <v>1291605.4</v>
      </c>
      <c r="BZ10" s="36">
        <v>0</v>
      </c>
      <c r="CA10" s="36">
        <v>44084.15</v>
      </c>
      <c r="CB10" s="4">
        <f t="shared" si="11"/>
        <v>1335689.5499999998</v>
      </c>
      <c r="CC10" s="4">
        <f t="shared" si="12"/>
        <v>0</v>
      </c>
      <c r="CD10" s="70">
        <f t="shared" si="13"/>
        <v>49984.75</v>
      </c>
      <c r="CE10" s="72">
        <f t="shared" si="14"/>
        <v>49984.75</v>
      </c>
      <c r="CF10" s="72">
        <f t="shared" si="15"/>
        <v>0</v>
      </c>
      <c r="CG10" s="72">
        <f t="shared" si="35"/>
        <v>628631.3500000001</v>
      </c>
      <c r="CH10" s="72">
        <f t="shared" si="16"/>
        <v>43976.8</v>
      </c>
      <c r="CI10" s="35">
        <f t="shared" si="17"/>
        <v>99592.8</v>
      </c>
      <c r="CJ10" s="57" t="str">
        <f t="shared" si="36"/>
        <v>-</v>
      </c>
      <c r="CK10" s="57" t="str">
        <f t="shared" si="37"/>
        <v>-</v>
      </c>
      <c r="CL10" s="148">
        <f t="shared" si="38"/>
        <v>0.07951361318521577</v>
      </c>
      <c r="CM10" s="148">
        <f t="shared" si="39"/>
        <v>0.07951361318521577</v>
      </c>
      <c r="CN10" s="148">
        <f t="shared" si="40"/>
        <v>0.06995642199518047</v>
      </c>
      <c r="CO10" s="148">
        <f t="shared" si="41"/>
        <v>0.15842798804100366</v>
      </c>
      <c r="CP10" s="148">
        <f t="shared" si="42"/>
        <v>0.05394373608966012</v>
      </c>
      <c r="CQ10" s="148">
        <f t="shared" si="43"/>
        <v>0.05394373608966012</v>
      </c>
      <c r="CR10" s="149">
        <f t="shared" si="44"/>
        <v>-18.631682663212278</v>
      </c>
      <c r="CS10" s="72">
        <f t="shared" si="45"/>
        <v>-931299.9999999999</v>
      </c>
      <c r="CT10" s="76">
        <f t="shared" si="18"/>
        <v>578646.6</v>
      </c>
      <c r="CU10" s="76">
        <f t="shared" si="19"/>
        <v>628631.3500000001</v>
      </c>
      <c r="CV10" s="76">
        <f t="shared" si="20"/>
        <v>49984.75000000012</v>
      </c>
      <c r="CW10" s="76">
        <f t="shared" si="21"/>
        <v>0</v>
      </c>
      <c r="CX10" s="76">
        <f t="shared" si="22"/>
        <v>49984.75000000012</v>
      </c>
      <c r="CY10" s="76">
        <f t="shared" si="23"/>
        <v>-5631.249999999884</v>
      </c>
      <c r="CZ10" s="76">
        <f t="shared" si="24"/>
        <v>0</v>
      </c>
      <c r="DA10" s="76">
        <f t="shared" si="25"/>
        <v>55616</v>
      </c>
      <c r="DB10" s="76">
        <f t="shared" si="26"/>
        <v>49984.75000000012</v>
      </c>
      <c r="DC10" s="76">
        <f t="shared" si="27"/>
        <v>-55616</v>
      </c>
      <c r="DD10" s="76">
        <f t="shared" si="28"/>
        <v>-5631.249999999884</v>
      </c>
      <c r="DE10" s="76">
        <f t="shared" si="29"/>
        <v>183010.8</v>
      </c>
      <c r="DF10" s="76">
        <f t="shared" si="30"/>
        <v>-1750.5639097744358</v>
      </c>
      <c r="DG10" s="76">
        <f t="shared" si="31"/>
        <v>82.66315789473684</v>
      </c>
      <c r="DH10" s="76">
        <f t="shared" si="32"/>
        <v>344.0052631578947</v>
      </c>
      <c r="DI10" s="77">
        <f t="shared" si="33"/>
        <v>0</v>
      </c>
      <c r="DJ10" s="72">
        <f t="shared" si="34"/>
        <v>93.95629699248143</v>
      </c>
      <c r="DK10" s="151">
        <f t="shared" si="46"/>
        <v>-931300</v>
      </c>
      <c r="DL10" s="136">
        <v>14</v>
      </c>
      <c r="DM10" s="136">
        <v>46</v>
      </c>
      <c r="DN10" s="65">
        <v>0</v>
      </c>
    </row>
    <row r="11" spans="1:118" ht="12.75">
      <c r="A11" s="50" t="s">
        <v>6</v>
      </c>
      <c r="B11" s="39">
        <v>5636</v>
      </c>
      <c r="C11" s="4">
        <v>22193324</v>
      </c>
      <c r="D11" s="66">
        <v>3937.78</v>
      </c>
      <c r="E11" s="66">
        <v>114.2</v>
      </c>
      <c r="F11" s="8">
        <v>13</v>
      </c>
      <c r="G11" s="129">
        <f>(G42/($B$11+$B$27)*$B$11)</f>
        <v>3870606.9893978215</v>
      </c>
      <c r="H11" s="129">
        <f aca="true" t="shared" si="51" ref="H11:AD11">(H42/($B$11+$B$27)*$B$11)</f>
        <v>787815.2260730301</v>
      </c>
      <c r="I11" s="129">
        <f t="shared" si="51"/>
        <v>318438.19721332483</v>
      </c>
      <c r="J11" s="129">
        <f t="shared" si="51"/>
        <v>38361.62716207559</v>
      </c>
      <c r="K11" s="129">
        <f t="shared" si="51"/>
        <v>556592.684657271</v>
      </c>
      <c r="L11" s="129">
        <f t="shared" si="51"/>
        <v>0</v>
      </c>
      <c r="M11" s="41">
        <f t="shared" si="0"/>
        <v>556592.684657271</v>
      </c>
      <c r="N11" s="129">
        <f t="shared" si="51"/>
        <v>0</v>
      </c>
      <c r="O11" s="129">
        <f t="shared" si="51"/>
        <v>1607407.148046124</v>
      </c>
      <c r="P11" s="129">
        <f t="shared" si="51"/>
        <v>0</v>
      </c>
      <c r="Q11" s="129">
        <f t="shared" si="51"/>
        <v>0</v>
      </c>
      <c r="R11" s="129">
        <f t="shared" si="51"/>
        <v>0</v>
      </c>
      <c r="S11" s="129">
        <f t="shared" si="51"/>
        <v>0</v>
      </c>
      <c r="T11" s="129">
        <f t="shared" si="51"/>
        <v>0</v>
      </c>
      <c r="U11" s="129">
        <f t="shared" si="51"/>
        <v>0</v>
      </c>
      <c r="V11" s="129">
        <f t="shared" si="51"/>
        <v>0</v>
      </c>
      <c r="W11" s="41">
        <f t="shared" si="1"/>
        <v>0</v>
      </c>
      <c r="X11" s="129">
        <f t="shared" si="51"/>
        <v>0</v>
      </c>
      <c r="Y11" s="41">
        <f t="shared" si="2"/>
        <v>7179221.8725496465</v>
      </c>
      <c r="Z11" s="129">
        <f t="shared" si="51"/>
        <v>3496657.8026905833</v>
      </c>
      <c r="AA11" s="129">
        <f t="shared" si="51"/>
        <v>245074.74445868036</v>
      </c>
      <c r="AB11" s="129">
        <f t="shared" si="51"/>
        <v>0</v>
      </c>
      <c r="AC11" s="129">
        <f t="shared" si="51"/>
        <v>171177.433247918</v>
      </c>
      <c r="AD11" s="129">
        <f t="shared" si="51"/>
        <v>0</v>
      </c>
      <c r="AE11" s="41">
        <f t="shared" si="3"/>
        <v>3912909.9803971816</v>
      </c>
      <c r="AF11" s="129">
        <f>(AF42/($B$11+$B$27)*$B$11)</f>
        <v>0</v>
      </c>
      <c r="AG11" s="129">
        <f aca="true" t="shared" si="52" ref="AG11:CA11">(AG42/($B$11+$B$27)*$B$11)</f>
        <v>211850.0099615631</v>
      </c>
      <c r="AH11" s="129">
        <f t="shared" si="52"/>
        <v>0</v>
      </c>
      <c r="AI11" s="129">
        <f t="shared" si="52"/>
        <v>226762.39298526585</v>
      </c>
      <c r="AJ11" s="129">
        <f t="shared" si="52"/>
        <v>1406551.6255605381</v>
      </c>
      <c r="AK11" s="129">
        <f t="shared" si="52"/>
        <v>60081.03270339526</v>
      </c>
      <c r="AL11" s="129">
        <f t="shared" si="52"/>
        <v>1503017.3979500323</v>
      </c>
      <c r="AM11" s="129">
        <f t="shared" si="52"/>
        <v>0</v>
      </c>
      <c r="AN11" s="129">
        <f t="shared" si="52"/>
        <v>0</v>
      </c>
      <c r="AO11" s="129">
        <f t="shared" si="52"/>
        <v>0</v>
      </c>
      <c r="AP11" s="129">
        <f t="shared" si="52"/>
        <v>0</v>
      </c>
      <c r="AQ11" s="129">
        <f t="shared" si="52"/>
        <v>0</v>
      </c>
      <c r="AR11" s="129">
        <f t="shared" si="52"/>
        <v>0</v>
      </c>
      <c r="AS11" s="4">
        <f t="shared" si="4"/>
        <v>0</v>
      </c>
      <c r="AT11" s="129">
        <f t="shared" si="52"/>
        <v>132166.18577834722</v>
      </c>
      <c r="AU11" s="4">
        <f t="shared" si="5"/>
        <v>7453338.625336325</v>
      </c>
      <c r="AV11" s="129">
        <f t="shared" si="52"/>
        <v>274116.75278667524</v>
      </c>
      <c r="AW11" s="129">
        <f t="shared" si="52"/>
        <v>0</v>
      </c>
      <c r="AX11" s="4">
        <f t="shared" si="6"/>
        <v>-3.026798367500305E-09</v>
      </c>
      <c r="AY11" s="129">
        <f t="shared" si="52"/>
        <v>0</v>
      </c>
      <c r="AZ11" s="129">
        <f t="shared" si="52"/>
        <v>162983.34455477257</v>
      </c>
      <c r="BA11" s="129">
        <f t="shared" si="52"/>
        <v>0</v>
      </c>
      <c r="BB11" s="129">
        <f t="shared" si="52"/>
        <v>0</v>
      </c>
      <c r="BC11" s="129">
        <f t="shared" si="52"/>
        <v>0</v>
      </c>
      <c r="BD11" s="129">
        <f t="shared" si="52"/>
        <v>0</v>
      </c>
      <c r="BE11" s="129">
        <f t="shared" si="52"/>
        <v>0</v>
      </c>
      <c r="BF11" s="41">
        <f t="shared" si="7"/>
        <v>162983.34455477257</v>
      </c>
      <c r="BG11" s="129">
        <f t="shared" si="52"/>
        <v>0</v>
      </c>
      <c r="BH11" s="129">
        <f t="shared" si="52"/>
        <v>0</v>
      </c>
      <c r="BI11" s="129">
        <f t="shared" si="52"/>
        <v>0</v>
      </c>
      <c r="BJ11" s="129">
        <f t="shared" si="52"/>
        <v>0</v>
      </c>
      <c r="BK11" s="129">
        <f t="shared" si="52"/>
        <v>0</v>
      </c>
      <c r="BL11" s="129">
        <f t="shared" si="52"/>
        <v>0</v>
      </c>
      <c r="BM11" s="129">
        <f t="shared" si="52"/>
        <v>25246.14788597053</v>
      </c>
      <c r="BN11" s="129">
        <f t="shared" si="52"/>
        <v>0</v>
      </c>
      <c r="BO11" s="41">
        <f t="shared" si="8"/>
        <v>25246.14788597053</v>
      </c>
      <c r="BP11" s="129">
        <f t="shared" si="52"/>
        <v>25246.14788597053</v>
      </c>
      <c r="BQ11" s="129">
        <f t="shared" si="52"/>
        <v>0</v>
      </c>
      <c r="BR11" s="129">
        <f t="shared" si="52"/>
        <v>162983.34455477257</v>
      </c>
      <c r="BS11" s="41">
        <f t="shared" si="9"/>
        <v>0</v>
      </c>
      <c r="BT11" s="129">
        <f t="shared" si="52"/>
        <v>9818062.467841126</v>
      </c>
      <c r="BU11" s="129">
        <f t="shared" si="52"/>
        <v>7058410.5027546445</v>
      </c>
      <c r="BV11" s="129">
        <f t="shared" si="52"/>
        <v>0</v>
      </c>
      <c r="BW11" s="129">
        <f t="shared" si="52"/>
        <v>0</v>
      </c>
      <c r="BX11" s="4">
        <f t="shared" si="10"/>
        <v>16876472.97059577</v>
      </c>
      <c r="BY11" s="129">
        <f t="shared" si="52"/>
        <v>16247777.522620115</v>
      </c>
      <c r="BZ11" s="129">
        <f t="shared" si="52"/>
        <v>0</v>
      </c>
      <c r="CA11" s="129">
        <f t="shared" si="52"/>
        <v>628695.4479756567</v>
      </c>
      <c r="CB11" s="4">
        <f t="shared" si="11"/>
        <v>16876472.970595773</v>
      </c>
      <c r="CC11" s="4">
        <f t="shared" si="12"/>
        <v>0</v>
      </c>
      <c r="CD11" s="70">
        <f t="shared" si="13"/>
        <v>830709.4374439463</v>
      </c>
      <c r="CE11" s="72">
        <f t="shared" si="14"/>
        <v>830709.4374439463</v>
      </c>
      <c r="CF11" s="72">
        <f t="shared" si="15"/>
        <v>137737.19666880203</v>
      </c>
      <c r="CG11" s="72">
        <f t="shared" si="35"/>
        <v>7321172.439557978</v>
      </c>
      <c r="CH11" s="72">
        <f t="shared" si="16"/>
        <v>106588.18725176173</v>
      </c>
      <c r="CI11" s="35">
        <f t="shared" si="17"/>
        <v>663180.8719090328</v>
      </c>
      <c r="CJ11" s="57">
        <f t="shared" si="36"/>
        <v>6.031119098796824</v>
      </c>
      <c r="CK11" s="57">
        <f t="shared" si="37"/>
        <v>6.031119098796824</v>
      </c>
      <c r="CL11" s="148">
        <f t="shared" si="38"/>
        <v>0.11346672193587903</v>
      </c>
      <c r="CM11" s="148">
        <f t="shared" si="39"/>
        <v>0.11346672193587903</v>
      </c>
      <c r="CN11" s="148">
        <f t="shared" si="40"/>
        <v>0.014558895877911747</v>
      </c>
      <c r="CO11" s="148">
        <f t="shared" si="41"/>
        <v>0.09058397099427874</v>
      </c>
      <c r="CP11" s="148">
        <f t="shared" si="42"/>
        <v>0.07309158919031762</v>
      </c>
      <c r="CQ11" s="148">
        <f t="shared" si="43"/>
        <v>0.07309158919031762</v>
      </c>
      <c r="CR11" s="149">
        <f t="shared" si="44"/>
        <v>-7.7400289017576585</v>
      </c>
      <c r="CS11" s="72">
        <f t="shared" si="45"/>
        <v>-6429715.054778989</v>
      </c>
      <c r="CT11" s="76">
        <f t="shared" si="18"/>
        <v>6622629.1878923755</v>
      </c>
      <c r="CU11" s="76">
        <f t="shared" si="19"/>
        <v>7453338.625336325</v>
      </c>
      <c r="CV11" s="76">
        <f t="shared" si="20"/>
        <v>830709.4374439493</v>
      </c>
      <c r="CW11" s="76">
        <f t="shared" si="21"/>
        <v>0</v>
      </c>
      <c r="CX11" s="76">
        <f t="shared" si="22"/>
        <v>830709.4374439493</v>
      </c>
      <c r="CY11" s="76">
        <f t="shared" si="23"/>
        <v>274116.75278667826</v>
      </c>
      <c r="CZ11" s="76">
        <f t="shared" si="24"/>
        <v>137737.19666880203</v>
      </c>
      <c r="DA11" s="76">
        <f t="shared" si="25"/>
        <v>556592.684657271</v>
      </c>
      <c r="DB11" s="76">
        <f t="shared" si="26"/>
        <v>692972.2407751472</v>
      </c>
      <c r="DC11" s="76">
        <f t="shared" si="27"/>
        <v>-581838.8325432416</v>
      </c>
      <c r="DD11" s="76">
        <f t="shared" si="28"/>
        <v>274116.75278667826</v>
      </c>
      <c r="DE11" s="76">
        <f t="shared" si="29"/>
        <v>3741732.547149264</v>
      </c>
      <c r="DF11" s="76">
        <f t="shared" si="30"/>
        <v>-1140.8294987187703</v>
      </c>
      <c r="DG11" s="76">
        <f t="shared" si="31"/>
        <v>18.912027546444595</v>
      </c>
      <c r="DH11" s="76">
        <f t="shared" si="32"/>
        <v>663.898606662396</v>
      </c>
      <c r="DI11" s="77">
        <f t="shared" si="33"/>
        <v>24.438821268417676</v>
      </c>
      <c r="DJ11" s="72">
        <f t="shared" si="34"/>
        <v>122.95462043561874</v>
      </c>
      <c r="DK11" s="151">
        <f t="shared" si="46"/>
        <v>-6429715.054778988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4">
        <v>652</v>
      </c>
      <c r="C12" s="36">
        <v>1582384</v>
      </c>
      <c r="D12" s="64">
        <v>2426.97</v>
      </c>
      <c r="E12" s="64">
        <v>70.39</v>
      </c>
      <c r="F12" s="124">
        <v>12</v>
      </c>
      <c r="G12" s="130">
        <f>(G43/($B$12+$B$14+$B$23)*$B$12)</f>
        <v>0</v>
      </c>
      <c r="H12" s="130">
        <f aca="true" t="shared" si="53" ref="H12:BU12">(H43/($B$12+$B$14+$B$23)*$B$12)</f>
        <v>0</v>
      </c>
      <c r="I12" s="130">
        <f t="shared" si="53"/>
        <v>0</v>
      </c>
      <c r="J12" s="130">
        <f t="shared" si="53"/>
        <v>0</v>
      </c>
      <c r="K12" s="130">
        <f t="shared" si="53"/>
        <v>0</v>
      </c>
      <c r="L12" s="130">
        <f t="shared" si="53"/>
        <v>0</v>
      </c>
      <c r="M12" s="41">
        <f t="shared" si="0"/>
        <v>0</v>
      </c>
      <c r="N12" s="130">
        <f t="shared" si="53"/>
        <v>0</v>
      </c>
      <c r="O12" s="130">
        <f t="shared" si="53"/>
        <v>0</v>
      </c>
      <c r="P12" s="130">
        <f t="shared" si="53"/>
        <v>0</v>
      </c>
      <c r="Q12" s="130">
        <f t="shared" si="53"/>
        <v>0</v>
      </c>
      <c r="R12" s="130">
        <f t="shared" si="53"/>
        <v>0</v>
      </c>
      <c r="S12" s="130">
        <f t="shared" si="53"/>
        <v>0</v>
      </c>
      <c r="T12" s="130">
        <f t="shared" si="53"/>
        <v>0</v>
      </c>
      <c r="U12" s="130">
        <f t="shared" si="53"/>
        <v>0</v>
      </c>
      <c r="V12" s="130">
        <f t="shared" si="53"/>
        <v>0</v>
      </c>
      <c r="W12" s="41">
        <f t="shared" si="1"/>
        <v>0</v>
      </c>
      <c r="X12" s="130">
        <f t="shared" si="53"/>
        <v>0</v>
      </c>
      <c r="Y12" s="41">
        <f t="shared" si="2"/>
        <v>0</v>
      </c>
      <c r="Z12" s="130">
        <f t="shared" si="53"/>
        <v>0</v>
      </c>
      <c r="AA12" s="130">
        <f t="shared" si="53"/>
        <v>0</v>
      </c>
      <c r="AB12" s="130">
        <f t="shared" si="53"/>
        <v>0</v>
      </c>
      <c r="AC12" s="130">
        <f t="shared" si="53"/>
        <v>0</v>
      </c>
      <c r="AD12" s="130">
        <f t="shared" si="53"/>
        <v>0</v>
      </c>
      <c r="AE12" s="41">
        <f t="shared" si="3"/>
        <v>0</v>
      </c>
      <c r="AF12" s="130">
        <f t="shared" si="53"/>
        <v>0</v>
      </c>
      <c r="AG12" s="130">
        <f t="shared" si="53"/>
        <v>0</v>
      </c>
      <c r="AH12" s="130">
        <f t="shared" si="53"/>
        <v>0</v>
      </c>
      <c r="AI12" s="130">
        <f t="shared" si="53"/>
        <v>0</v>
      </c>
      <c r="AJ12" s="130">
        <f t="shared" si="53"/>
        <v>0</v>
      </c>
      <c r="AK12" s="130">
        <f t="shared" si="53"/>
        <v>0</v>
      </c>
      <c r="AL12" s="130">
        <f t="shared" si="53"/>
        <v>0</v>
      </c>
      <c r="AM12" s="130">
        <f t="shared" si="53"/>
        <v>0</v>
      </c>
      <c r="AN12" s="130">
        <f t="shared" si="53"/>
        <v>0</v>
      </c>
      <c r="AO12" s="130">
        <f t="shared" si="53"/>
        <v>0</v>
      </c>
      <c r="AP12" s="130">
        <f t="shared" si="53"/>
        <v>0</v>
      </c>
      <c r="AQ12" s="130">
        <f t="shared" si="53"/>
        <v>0</v>
      </c>
      <c r="AR12" s="130">
        <f t="shared" si="53"/>
        <v>0</v>
      </c>
      <c r="AS12" s="4">
        <f t="shared" si="4"/>
        <v>0</v>
      </c>
      <c r="AT12" s="130">
        <f t="shared" si="53"/>
        <v>0</v>
      </c>
      <c r="AU12" s="4">
        <f>SUM(Z12:AT12)-AE12-AH12-AS12</f>
        <v>0</v>
      </c>
      <c r="AV12" s="130">
        <f t="shared" si="53"/>
        <v>0</v>
      </c>
      <c r="AW12" s="130">
        <f t="shared" si="53"/>
        <v>0</v>
      </c>
      <c r="AX12" s="4">
        <f t="shared" si="6"/>
        <v>0</v>
      </c>
      <c r="AY12" s="130">
        <f t="shared" si="53"/>
        <v>0</v>
      </c>
      <c r="AZ12" s="130">
        <f t="shared" si="53"/>
        <v>0</v>
      </c>
      <c r="BA12" s="130">
        <f t="shared" si="53"/>
        <v>0</v>
      </c>
      <c r="BB12" s="130">
        <f t="shared" si="53"/>
        <v>0</v>
      </c>
      <c r="BC12" s="130">
        <f t="shared" si="53"/>
        <v>0</v>
      </c>
      <c r="BD12" s="130">
        <f t="shared" si="53"/>
        <v>0</v>
      </c>
      <c r="BE12" s="130">
        <f t="shared" si="53"/>
        <v>0</v>
      </c>
      <c r="BF12" s="41">
        <f t="shared" si="7"/>
        <v>0</v>
      </c>
      <c r="BG12" s="130">
        <f t="shared" si="53"/>
        <v>0</v>
      </c>
      <c r="BH12" s="130">
        <f t="shared" si="53"/>
        <v>0</v>
      </c>
      <c r="BI12" s="130">
        <f t="shared" si="53"/>
        <v>0</v>
      </c>
      <c r="BJ12" s="130">
        <f t="shared" si="53"/>
        <v>0</v>
      </c>
      <c r="BK12" s="130">
        <f t="shared" si="53"/>
        <v>0</v>
      </c>
      <c r="BL12" s="130">
        <f t="shared" si="53"/>
        <v>0</v>
      </c>
      <c r="BM12" s="130">
        <f t="shared" si="53"/>
        <v>0</v>
      </c>
      <c r="BN12" s="130">
        <f t="shared" si="53"/>
        <v>0</v>
      </c>
      <c r="BO12" s="41">
        <f t="shared" si="8"/>
        <v>0</v>
      </c>
      <c r="BP12" s="130">
        <f t="shared" si="53"/>
        <v>0</v>
      </c>
      <c r="BQ12" s="130">
        <f t="shared" si="53"/>
        <v>0</v>
      </c>
      <c r="BR12" s="130">
        <f t="shared" si="53"/>
        <v>0</v>
      </c>
      <c r="BS12" s="41">
        <f t="shared" si="9"/>
        <v>0</v>
      </c>
      <c r="BT12" s="130">
        <f t="shared" si="53"/>
        <v>0</v>
      </c>
      <c r="BU12" s="130">
        <f t="shared" si="53"/>
        <v>0</v>
      </c>
      <c r="BV12" s="130">
        <f aca="true" t="shared" si="54" ref="BV12:CA12">(BV43/($B$12+$B$14+$B$23)*$B$12)</f>
        <v>0</v>
      </c>
      <c r="BW12" s="130">
        <f t="shared" si="54"/>
        <v>0</v>
      </c>
      <c r="BX12" s="4">
        <f t="shared" si="10"/>
        <v>0</v>
      </c>
      <c r="BY12" s="130">
        <f t="shared" si="54"/>
        <v>0</v>
      </c>
      <c r="BZ12" s="130">
        <f t="shared" si="54"/>
        <v>0</v>
      </c>
      <c r="CA12" s="130">
        <f t="shared" si="54"/>
        <v>0</v>
      </c>
      <c r="CB12" s="4">
        <f t="shared" si="11"/>
        <v>0</v>
      </c>
      <c r="CC12" s="4">
        <f t="shared" si="12"/>
        <v>0</v>
      </c>
      <c r="CD12" s="70">
        <f t="shared" si="13"/>
        <v>0</v>
      </c>
      <c r="CE12" s="72">
        <f t="shared" si="14"/>
        <v>0</v>
      </c>
      <c r="CF12" s="72">
        <f t="shared" si="15"/>
        <v>0</v>
      </c>
      <c r="CG12" s="72">
        <f t="shared" si="35"/>
        <v>0</v>
      </c>
      <c r="CH12" s="72">
        <f>I12-AG12+AY12+AH12+BQ12</f>
        <v>0</v>
      </c>
      <c r="CI12" s="35">
        <f t="shared" si="17"/>
        <v>0</v>
      </c>
      <c r="CJ12" s="57" t="str">
        <f t="shared" si="36"/>
        <v>-</v>
      </c>
      <c r="CK12" s="57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72">
        <f t="shared" si="45"/>
        <v>0</v>
      </c>
      <c r="CT12" s="76">
        <f t="shared" si="18"/>
        <v>0</v>
      </c>
      <c r="CU12" s="76">
        <f t="shared" si="19"/>
        <v>0</v>
      </c>
      <c r="CV12" s="76">
        <f t="shared" si="20"/>
        <v>0</v>
      </c>
      <c r="CW12" s="76">
        <f t="shared" si="21"/>
        <v>0</v>
      </c>
      <c r="CX12" s="76">
        <f t="shared" si="22"/>
        <v>0</v>
      </c>
      <c r="CY12" s="76">
        <f t="shared" si="23"/>
        <v>0</v>
      </c>
      <c r="CZ12" s="76">
        <f t="shared" si="24"/>
        <v>0</v>
      </c>
      <c r="DA12" s="76">
        <f t="shared" si="25"/>
        <v>0</v>
      </c>
      <c r="DB12" s="76">
        <f t="shared" si="26"/>
        <v>0</v>
      </c>
      <c r="DC12" s="76">
        <f t="shared" si="27"/>
        <v>0</v>
      </c>
      <c r="DD12" s="76">
        <f t="shared" si="28"/>
        <v>0</v>
      </c>
      <c r="DE12" s="76">
        <f t="shared" si="29"/>
        <v>0</v>
      </c>
      <c r="DF12" s="76">
        <f t="shared" si="30"/>
        <v>0</v>
      </c>
      <c r="DG12" s="76">
        <f t="shared" si="31"/>
        <v>0</v>
      </c>
      <c r="DH12" s="76">
        <f t="shared" si="32"/>
        <v>0</v>
      </c>
      <c r="DI12" s="77">
        <f t="shared" si="33"/>
        <v>0</v>
      </c>
      <c r="DJ12" s="72">
        <f t="shared" si="34"/>
        <v>0</v>
      </c>
      <c r="DK12" s="151">
        <f t="shared" si="46"/>
        <v>0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39">
        <v>345</v>
      </c>
      <c r="C13" s="4">
        <v>717733</v>
      </c>
      <c r="D13" s="66">
        <v>2080.38</v>
      </c>
      <c r="E13" s="66">
        <v>60.33</v>
      </c>
      <c r="F13" s="8">
        <v>10</v>
      </c>
      <c r="G13" s="129">
        <v>699934.05</v>
      </c>
      <c r="H13" s="129">
        <v>171502.8</v>
      </c>
      <c r="I13" s="129">
        <v>28026.15</v>
      </c>
      <c r="J13" s="129">
        <f aca="true" t="shared" si="55" ref="J13:BR13">(J44/($B$13+$B$16)*$B$13)</f>
        <v>0</v>
      </c>
      <c r="K13" s="129">
        <v>76307.4</v>
      </c>
      <c r="L13" s="129">
        <f t="shared" si="55"/>
        <v>0</v>
      </c>
      <c r="M13" s="41">
        <f t="shared" si="0"/>
        <v>76307.4</v>
      </c>
      <c r="N13" s="129">
        <f t="shared" si="55"/>
        <v>0</v>
      </c>
      <c r="O13" s="129">
        <v>230617.15</v>
      </c>
      <c r="P13" s="129">
        <v>13851.4</v>
      </c>
      <c r="Q13" s="129">
        <f t="shared" si="55"/>
        <v>0</v>
      </c>
      <c r="R13" s="129">
        <f t="shared" si="55"/>
        <v>0</v>
      </c>
      <c r="S13" s="129">
        <f t="shared" si="55"/>
        <v>0</v>
      </c>
      <c r="T13" s="129">
        <f t="shared" si="55"/>
        <v>0</v>
      </c>
      <c r="U13" s="129">
        <f t="shared" si="55"/>
        <v>0</v>
      </c>
      <c r="V13" s="129">
        <f t="shared" si="55"/>
        <v>0</v>
      </c>
      <c r="W13" s="41">
        <f t="shared" si="1"/>
        <v>0</v>
      </c>
      <c r="X13" s="129">
        <v>234706.85</v>
      </c>
      <c r="Y13" s="41">
        <f t="shared" si="2"/>
        <v>1454945.8</v>
      </c>
      <c r="Z13" s="129">
        <v>87850.2</v>
      </c>
      <c r="AA13" s="129">
        <v>13260.75</v>
      </c>
      <c r="AB13" s="129">
        <f t="shared" si="55"/>
        <v>0</v>
      </c>
      <c r="AC13" s="129">
        <v>821.65</v>
      </c>
      <c r="AD13" s="129">
        <f t="shared" si="55"/>
        <v>0</v>
      </c>
      <c r="AE13" s="41">
        <f t="shared" si="3"/>
        <v>101932.59999999999</v>
      </c>
      <c r="AF13" s="129">
        <f t="shared" si="55"/>
        <v>0</v>
      </c>
      <c r="AG13" s="129">
        <v>886.35</v>
      </c>
      <c r="AH13" s="129">
        <f t="shared" si="55"/>
        <v>0</v>
      </c>
      <c r="AI13" s="129">
        <v>37087</v>
      </c>
      <c r="AJ13" s="129">
        <v>274537</v>
      </c>
      <c r="AK13" s="129">
        <v>281246</v>
      </c>
      <c r="AL13" s="129">
        <v>295248.95</v>
      </c>
      <c r="AM13" s="129">
        <f t="shared" si="55"/>
        <v>0</v>
      </c>
      <c r="AN13" s="129">
        <f t="shared" si="55"/>
        <v>0</v>
      </c>
      <c r="AO13" s="129">
        <f t="shared" si="55"/>
        <v>0</v>
      </c>
      <c r="AP13" s="129">
        <f t="shared" si="55"/>
        <v>0</v>
      </c>
      <c r="AQ13" s="129">
        <f t="shared" si="55"/>
        <v>0</v>
      </c>
      <c r="AR13" s="129">
        <f t="shared" si="55"/>
        <v>0</v>
      </c>
      <c r="AS13" s="4">
        <f t="shared" si="4"/>
        <v>0</v>
      </c>
      <c r="AT13" s="129">
        <v>234706.85</v>
      </c>
      <c r="AU13" s="4">
        <f t="shared" si="5"/>
        <v>1225644.75</v>
      </c>
      <c r="AV13" s="129">
        <f t="shared" si="55"/>
        <v>0</v>
      </c>
      <c r="AW13" s="129">
        <v>229301.05</v>
      </c>
      <c r="AX13" s="4">
        <f t="shared" si="6"/>
        <v>0</v>
      </c>
      <c r="AY13" s="129">
        <f t="shared" si="55"/>
        <v>0</v>
      </c>
      <c r="AZ13" s="129">
        <f t="shared" si="55"/>
        <v>0</v>
      </c>
      <c r="BA13" s="129">
        <f t="shared" si="55"/>
        <v>0</v>
      </c>
      <c r="BB13" s="129">
        <f t="shared" si="55"/>
        <v>0</v>
      </c>
      <c r="BC13" s="129">
        <f t="shared" si="55"/>
        <v>0</v>
      </c>
      <c r="BD13" s="129">
        <f t="shared" si="55"/>
        <v>0</v>
      </c>
      <c r="BE13" s="129">
        <f t="shared" si="55"/>
        <v>0</v>
      </c>
      <c r="BF13" s="41">
        <f t="shared" si="7"/>
        <v>0</v>
      </c>
      <c r="BG13" s="129">
        <f t="shared" si="55"/>
        <v>0</v>
      </c>
      <c r="BH13" s="129">
        <f t="shared" si="55"/>
        <v>0</v>
      </c>
      <c r="BI13" s="129">
        <f t="shared" si="55"/>
        <v>0</v>
      </c>
      <c r="BJ13" s="129">
        <f t="shared" si="55"/>
        <v>0</v>
      </c>
      <c r="BK13" s="129">
        <f t="shared" si="55"/>
        <v>0</v>
      </c>
      <c r="BL13" s="129">
        <f t="shared" si="55"/>
        <v>0</v>
      </c>
      <c r="BM13" s="129">
        <f t="shared" si="55"/>
        <v>0</v>
      </c>
      <c r="BN13" s="129">
        <f t="shared" si="55"/>
        <v>0</v>
      </c>
      <c r="BO13" s="41">
        <f t="shared" si="8"/>
        <v>0</v>
      </c>
      <c r="BP13" s="129">
        <f t="shared" si="55"/>
        <v>0</v>
      </c>
      <c r="BQ13" s="129">
        <f t="shared" si="55"/>
        <v>0</v>
      </c>
      <c r="BR13" s="129">
        <f t="shared" si="55"/>
        <v>0</v>
      </c>
      <c r="BS13" s="41">
        <f t="shared" si="9"/>
        <v>0</v>
      </c>
      <c r="BT13" s="129">
        <v>688537.35</v>
      </c>
      <c r="BU13" s="129">
        <v>945617.45</v>
      </c>
      <c r="BV13" s="129">
        <f>(BV44/($B$13+$B$16)*$B$13)</f>
        <v>0</v>
      </c>
      <c r="BW13" s="129">
        <v>229301.05</v>
      </c>
      <c r="BX13" s="4">
        <f t="shared" si="10"/>
        <v>1863455.8499999999</v>
      </c>
      <c r="BY13" s="129">
        <v>1766444.65</v>
      </c>
      <c r="BZ13" s="129">
        <f>(BZ44/($B$13+$B$16)*$B$13)</f>
        <v>0</v>
      </c>
      <c r="CA13" s="129">
        <v>97011.2</v>
      </c>
      <c r="CB13" s="4">
        <f t="shared" si="11"/>
        <v>1863455.8499999999</v>
      </c>
      <c r="CC13" s="4">
        <f t="shared" si="12"/>
        <v>0</v>
      </c>
      <c r="CD13" s="70">
        <f t="shared" si="13"/>
        <v>-152993.65</v>
      </c>
      <c r="CE13" s="72">
        <f t="shared" si="14"/>
        <v>-152993.65</v>
      </c>
      <c r="CF13" s="72">
        <f t="shared" si="15"/>
        <v>0</v>
      </c>
      <c r="CG13" s="72">
        <f t="shared" si="35"/>
        <v>990937.9</v>
      </c>
      <c r="CH13" s="72">
        <f t="shared" si="16"/>
        <v>27139.800000000003</v>
      </c>
      <c r="CI13" s="35">
        <f t="shared" si="17"/>
        <v>103447.2</v>
      </c>
      <c r="CJ13" s="57" t="str">
        <f t="shared" si="36"/>
        <v>-</v>
      </c>
      <c r="CK13" s="57" t="str">
        <f t="shared" si="37"/>
        <v>-</v>
      </c>
      <c r="CL13" s="148">
        <f t="shared" si="38"/>
        <v>-0.1543927727459006</v>
      </c>
      <c r="CM13" s="148">
        <f t="shared" si="39"/>
        <v>-0.1543927727459006</v>
      </c>
      <c r="CN13" s="148">
        <f t="shared" si="40"/>
        <v>0.027387992728908645</v>
      </c>
      <c r="CO13" s="148">
        <f t="shared" si="41"/>
        <v>0.10439322181541345</v>
      </c>
      <c r="CP13" s="148">
        <f t="shared" si="42"/>
        <v>0.07467026562667499</v>
      </c>
      <c r="CQ13" s="148">
        <f t="shared" si="43"/>
        <v>0.07467026562667499</v>
      </c>
      <c r="CR13" s="149">
        <f t="shared" si="44"/>
        <v>7.045438160341948</v>
      </c>
      <c r="CS13" s="72">
        <f t="shared" si="45"/>
        <v>-1077907.2999999998</v>
      </c>
      <c r="CT13" s="76">
        <f t="shared" si="18"/>
        <v>1378638.4000000001</v>
      </c>
      <c r="CU13" s="76">
        <f t="shared" si="19"/>
        <v>1225644.75</v>
      </c>
      <c r="CV13" s="76">
        <f t="shared" si="20"/>
        <v>-152993.65000000014</v>
      </c>
      <c r="CW13" s="76">
        <f t="shared" si="21"/>
        <v>0</v>
      </c>
      <c r="CX13" s="76">
        <f t="shared" si="22"/>
        <v>-152993.65000000014</v>
      </c>
      <c r="CY13" s="76">
        <f t="shared" si="23"/>
        <v>-229301.05000000013</v>
      </c>
      <c r="CZ13" s="76">
        <f t="shared" si="24"/>
        <v>0</v>
      </c>
      <c r="DA13" s="76">
        <f t="shared" si="25"/>
        <v>76307.4</v>
      </c>
      <c r="DB13" s="76">
        <f t="shared" si="26"/>
        <v>-152993.65000000014</v>
      </c>
      <c r="DC13" s="76">
        <f t="shared" si="27"/>
        <v>-76307.4</v>
      </c>
      <c r="DD13" s="76">
        <f t="shared" si="28"/>
        <v>-229301.05000000013</v>
      </c>
      <c r="DE13" s="76">
        <f t="shared" si="29"/>
        <v>101110.95</v>
      </c>
      <c r="DF13" s="76">
        <f t="shared" si="30"/>
        <v>-3124.3689855072457</v>
      </c>
      <c r="DG13" s="76">
        <f t="shared" si="31"/>
        <v>78.66608695652175</v>
      </c>
      <c r="DH13" s="76">
        <f t="shared" si="32"/>
        <v>293.07521739130436</v>
      </c>
      <c r="DI13" s="77">
        <f t="shared" si="33"/>
        <v>0</v>
      </c>
      <c r="DJ13" s="72">
        <f t="shared" si="34"/>
        <v>-443.45985507246417</v>
      </c>
      <c r="DK13" s="151">
        <f t="shared" si="46"/>
        <v>-1077907.2999999998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4">
        <v>182</v>
      </c>
      <c r="C14" s="36">
        <v>493098</v>
      </c>
      <c r="D14" s="64">
        <v>2709.33</v>
      </c>
      <c r="E14" s="64">
        <v>78.58</v>
      </c>
      <c r="F14" s="124">
        <v>11</v>
      </c>
      <c r="G14" s="130">
        <f>(G43/($B$12+$B$14+$B$23)*$B$14)</f>
        <v>0</v>
      </c>
      <c r="H14" s="130">
        <f aca="true" t="shared" si="56" ref="H14:BU14">(H43/($B$12+$B$14+$B$23)*$B$14)</f>
        <v>0</v>
      </c>
      <c r="I14" s="130">
        <f t="shared" si="56"/>
        <v>0</v>
      </c>
      <c r="J14" s="130">
        <f t="shared" si="56"/>
        <v>0</v>
      </c>
      <c r="K14" s="130">
        <f t="shared" si="56"/>
        <v>0</v>
      </c>
      <c r="L14" s="130">
        <f t="shared" si="56"/>
        <v>0</v>
      </c>
      <c r="M14" s="41">
        <f t="shared" si="0"/>
        <v>0</v>
      </c>
      <c r="N14" s="130">
        <f t="shared" si="56"/>
        <v>0</v>
      </c>
      <c r="O14" s="130">
        <f t="shared" si="56"/>
        <v>0</v>
      </c>
      <c r="P14" s="130">
        <f t="shared" si="56"/>
        <v>0</v>
      </c>
      <c r="Q14" s="130">
        <f t="shared" si="56"/>
        <v>0</v>
      </c>
      <c r="R14" s="130">
        <f t="shared" si="56"/>
        <v>0</v>
      </c>
      <c r="S14" s="130">
        <f t="shared" si="56"/>
        <v>0</v>
      </c>
      <c r="T14" s="130">
        <f t="shared" si="56"/>
        <v>0</v>
      </c>
      <c r="U14" s="130">
        <f t="shared" si="56"/>
        <v>0</v>
      </c>
      <c r="V14" s="130">
        <f t="shared" si="56"/>
        <v>0</v>
      </c>
      <c r="W14" s="41">
        <f t="shared" si="1"/>
        <v>0</v>
      </c>
      <c r="X14" s="130">
        <f t="shared" si="56"/>
        <v>0</v>
      </c>
      <c r="Y14" s="41">
        <f t="shared" si="2"/>
        <v>0</v>
      </c>
      <c r="Z14" s="130">
        <f t="shared" si="56"/>
        <v>0</v>
      </c>
      <c r="AA14" s="130">
        <f t="shared" si="56"/>
        <v>0</v>
      </c>
      <c r="AB14" s="130">
        <f t="shared" si="56"/>
        <v>0</v>
      </c>
      <c r="AC14" s="130">
        <f t="shared" si="56"/>
        <v>0</v>
      </c>
      <c r="AD14" s="130">
        <f t="shared" si="56"/>
        <v>0</v>
      </c>
      <c r="AE14" s="41">
        <f t="shared" si="3"/>
        <v>0</v>
      </c>
      <c r="AF14" s="130">
        <f t="shared" si="56"/>
        <v>0</v>
      </c>
      <c r="AG14" s="130">
        <f t="shared" si="56"/>
        <v>0</v>
      </c>
      <c r="AH14" s="130">
        <f t="shared" si="56"/>
        <v>0</v>
      </c>
      <c r="AI14" s="130">
        <f t="shared" si="56"/>
        <v>0</v>
      </c>
      <c r="AJ14" s="130">
        <f t="shared" si="56"/>
        <v>0</v>
      </c>
      <c r="AK14" s="130">
        <f t="shared" si="56"/>
        <v>0</v>
      </c>
      <c r="AL14" s="130">
        <f t="shared" si="56"/>
        <v>0</v>
      </c>
      <c r="AM14" s="130">
        <f t="shared" si="56"/>
        <v>0</v>
      </c>
      <c r="AN14" s="130">
        <f t="shared" si="56"/>
        <v>0</v>
      </c>
      <c r="AO14" s="130">
        <f t="shared" si="56"/>
        <v>0</v>
      </c>
      <c r="AP14" s="130">
        <f t="shared" si="56"/>
        <v>0</v>
      </c>
      <c r="AQ14" s="130">
        <f t="shared" si="56"/>
        <v>0</v>
      </c>
      <c r="AR14" s="130">
        <f t="shared" si="56"/>
        <v>0</v>
      </c>
      <c r="AS14" s="4">
        <f t="shared" si="4"/>
        <v>0</v>
      </c>
      <c r="AT14" s="130">
        <f t="shared" si="56"/>
        <v>0</v>
      </c>
      <c r="AU14" s="4">
        <f t="shared" si="5"/>
        <v>0</v>
      </c>
      <c r="AV14" s="130">
        <f t="shared" si="56"/>
        <v>0</v>
      </c>
      <c r="AW14" s="130">
        <f t="shared" si="56"/>
        <v>0</v>
      </c>
      <c r="AX14" s="4">
        <f t="shared" si="6"/>
        <v>0</v>
      </c>
      <c r="AY14" s="130">
        <f t="shared" si="56"/>
        <v>0</v>
      </c>
      <c r="AZ14" s="130">
        <f t="shared" si="56"/>
        <v>0</v>
      </c>
      <c r="BA14" s="130">
        <f t="shared" si="56"/>
        <v>0</v>
      </c>
      <c r="BB14" s="130">
        <f t="shared" si="56"/>
        <v>0</v>
      </c>
      <c r="BC14" s="130">
        <f t="shared" si="56"/>
        <v>0</v>
      </c>
      <c r="BD14" s="130">
        <f t="shared" si="56"/>
        <v>0</v>
      </c>
      <c r="BE14" s="130">
        <f t="shared" si="56"/>
        <v>0</v>
      </c>
      <c r="BF14" s="41">
        <f t="shared" si="7"/>
        <v>0</v>
      </c>
      <c r="BG14" s="130">
        <f t="shared" si="56"/>
        <v>0</v>
      </c>
      <c r="BH14" s="130">
        <f t="shared" si="56"/>
        <v>0</v>
      </c>
      <c r="BI14" s="130">
        <f t="shared" si="56"/>
        <v>0</v>
      </c>
      <c r="BJ14" s="130">
        <f t="shared" si="56"/>
        <v>0</v>
      </c>
      <c r="BK14" s="130">
        <f t="shared" si="56"/>
        <v>0</v>
      </c>
      <c r="BL14" s="130">
        <f t="shared" si="56"/>
        <v>0</v>
      </c>
      <c r="BM14" s="130">
        <f t="shared" si="56"/>
        <v>0</v>
      </c>
      <c r="BN14" s="130">
        <f t="shared" si="56"/>
        <v>0</v>
      </c>
      <c r="BO14" s="41">
        <f t="shared" si="8"/>
        <v>0</v>
      </c>
      <c r="BP14" s="130">
        <f t="shared" si="56"/>
        <v>0</v>
      </c>
      <c r="BQ14" s="130">
        <f t="shared" si="56"/>
        <v>0</v>
      </c>
      <c r="BR14" s="130">
        <f t="shared" si="56"/>
        <v>0</v>
      </c>
      <c r="BS14" s="41">
        <f t="shared" si="9"/>
        <v>0</v>
      </c>
      <c r="BT14" s="130">
        <f t="shared" si="56"/>
        <v>0</v>
      </c>
      <c r="BU14" s="130">
        <f t="shared" si="56"/>
        <v>0</v>
      </c>
      <c r="BV14" s="130">
        <f aca="true" t="shared" si="57" ref="BV14:CA14">(BV43/($B$12+$B$14+$B$23)*$B$14)</f>
        <v>0</v>
      </c>
      <c r="BW14" s="130">
        <f t="shared" si="57"/>
        <v>0</v>
      </c>
      <c r="BX14" s="4">
        <f t="shared" si="10"/>
        <v>0</v>
      </c>
      <c r="BY14" s="130">
        <f t="shared" si="57"/>
        <v>0</v>
      </c>
      <c r="BZ14" s="130">
        <f t="shared" si="57"/>
        <v>0</v>
      </c>
      <c r="CA14" s="130">
        <f t="shared" si="57"/>
        <v>0</v>
      </c>
      <c r="CB14" s="4">
        <f t="shared" si="11"/>
        <v>0</v>
      </c>
      <c r="CC14" s="4">
        <f t="shared" si="12"/>
        <v>0</v>
      </c>
      <c r="CD14" s="70">
        <f t="shared" si="13"/>
        <v>0</v>
      </c>
      <c r="CE14" s="72">
        <f t="shared" si="14"/>
        <v>0</v>
      </c>
      <c r="CF14" s="72">
        <f t="shared" si="15"/>
        <v>0</v>
      </c>
      <c r="CG14" s="72">
        <f t="shared" si="35"/>
        <v>0</v>
      </c>
      <c r="CH14" s="72">
        <f t="shared" si="16"/>
        <v>0</v>
      </c>
      <c r="CI14" s="35">
        <f t="shared" si="17"/>
        <v>0</v>
      </c>
      <c r="CJ14" s="57" t="str">
        <f t="shared" si="36"/>
        <v>-</v>
      </c>
      <c r="CK14" s="57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72">
        <f t="shared" si="45"/>
        <v>0</v>
      </c>
      <c r="CT14" s="76">
        <f t="shared" si="18"/>
        <v>0</v>
      </c>
      <c r="CU14" s="76">
        <f t="shared" si="19"/>
        <v>0</v>
      </c>
      <c r="CV14" s="76">
        <f t="shared" si="20"/>
        <v>0</v>
      </c>
      <c r="CW14" s="76">
        <f t="shared" si="21"/>
        <v>0</v>
      </c>
      <c r="CX14" s="76">
        <f t="shared" si="22"/>
        <v>0</v>
      </c>
      <c r="CY14" s="76">
        <f t="shared" si="23"/>
        <v>0</v>
      </c>
      <c r="CZ14" s="76">
        <f t="shared" si="24"/>
        <v>0</v>
      </c>
      <c r="DA14" s="76">
        <f t="shared" si="25"/>
        <v>0</v>
      </c>
      <c r="DB14" s="76">
        <f t="shared" si="26"/>
        <v>0</v>
      </c>
      <c r="DC14" s="76">
        <f t="shared" si="27"/>
        <v>0</v>
      </c>
      <c r="DD14" s="76">
        <f t="shared" si="28"/>
        <v>0</v>
      </c>
      <c r="DE14" s="76">
        <f t="shared" si="29"/>
        <v>0</v>
      </c>
      <c r="DF14" s="76">
        <f t="shared" si="30"/>
        <v>0</v>
      </c>
      <c r="DG14" s="76">
        <f t="shared" si="31"/>
        <v>0</v>
      </c>
      <c r="DH14" s="76">
        <f t="shared" si="32"/>
        <v>0</v>
      </c>
      <c r="DI14" s="77">
        <f t="shared" si="33"/>
        <v>0</v>
      </c>
      <c r="DJ14" s="72">
        <f t="shared" si="34"/>
        <v>0</v>
      </c>
      <c r="DK14" s="151">
        <f t="shared" si="46"/>
        <v>0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39">
        <v>1250</v>
      </c>
      <c r="C15" s="4">
        <v>3326691</v>
      </c>
      <c r="D15" s="66">
        <v>2661.35</v>
      </c>
      <c r="E15" s="66">
        <v>77.18</v>
      </c>
      <c r="F15" s="8">
        <v>10</v>
      </c>
      <c r="G15" s="129">
        <v>1699383.5</v>
      </c>
      <c r="H15" s="41">
        <v>320205.65</v>
      </c>
      <c r="I15" s="41">
        <v>17760.8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323158.75</v>
      </c>
      <c r="P15" s="41">
        <v>0</v>
      </c>
      <c r="Q15" s="41">
        <v>0</v>
      </c>
      <c r="R15" s="41">
        <v>0</v>
      </c>
      <c r="S15" s="41">
        <v>0</v>
      </c>
      <c r="T15" s="41">
        <v>100000</v>
      </c>
      <c r="U15" s="41">
        <v>0</v>
      </c>
      <c r="V15" s="41">
        <v>0</v>
      </c>
      <c r="W15" s="41">
        <f>SUM(R15:V15)</f>
        <v>100000</v>
      </c>
      <c r="X15" s="41">
        <v>358806.2</v>
      </c>
      <c r="Y15" s="41">
        <f>SUM(G15:X15)-M15-W15</f>
        <v>2819314.9000000004</v>
      </c>
      <c r="Z15" s="41">
        <v>357144.55</v>
      </c>
      <c r="AA15" s="41">
        <v>102193.15</v>
      </c>
      <c r="AB15" s="41">
        <v>0</v>
      </c>
      <c r="AC15" s="41">
        <v>39524.5</v>
      </c>
      <c r="AD15" s="41">
        <v>0</v>
      </c>
      <c r="AE15" s="41">
        <f>SUM(Z15:AD15)</f>
        <v>498862.19999999995</v>
      </c>
      <c r="AF15" s="41">
        <v>0</v>
      </c>
      <c r="AG15" s="41">
        <v>8927.65</v>
      </c>
      <c r="AH15" s="41">
        <v>0</v>
      </c>
      <c r="AI15" s="41">
        <v>68882</v>
      </c>
      <c r="AJ15" s="41">
        <v>580008</v>
      </c>
      <c r="AK15" s="41">
        <v>346151.35</v>
      </c>
      <c r="AL15" s="41">
        <v>794235.5</v>
      </c>
      <c r="AM15" s="41">
        <v>0</v>
      </c>
      <c r="AN15" s="4">
        <v>0</v>
      </c>
      <c r="AO15" s="4">
        <v>0</v>
      </c>
      <c r="AP15" s="4">
        <v>0</v>
      </c>
      <c r="AQ15" s="4">
        <v>4366.65</v>
      </c>
      <c r="AR15" s="4">
        <v>0</v>
      </c>
      <c r="AS15" s="4">
        <f>SUM(AN15:AR15)</f>
        <v>4366.65</v>
      </c>
      <c r="AT15" s="4">
        <v>358806.2</v>
      </c>
      <c r="AU15" s="4">
        <f>SUM(Z15:AT15)-AE15-AH15-AS15</f>
        <v>2660239.5500000003</v>
      </c>
      <c r="AV15" s="4">
        <v>0</v>
      </c>
      <c r="AW15" s="4">
        <v>159075.35</v>
      </c>
      <c r="AX15" s="4">
        <f>Y15-AU15+AV15-AW15</f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1168058.95</v>
      </c>
      <c r="BU15" s="4">
        <v>1</v>
      </c>
      <c r="BV15" s="4">
        <v>0</v>
      </c>
      <c r="BW15" s="4">
        <v>0</v>
      </c>
      <c r="BX15" s="4">
        <f>SUM(BT15:BW15)</f>
        <v>1168059.95</v>
      </c>
      <c r="BY15" s="4">
        <v>955247.2</v>
      </c>
      <c r="BZ15" s="4">
        <v>100000</v>
      </c>
      <c r="CA15" s="4">
        <v>112812.75</v>
      </c>
      <c r="CB15" s="4">
        <f>SUM(BY15:CA15)</f>
        <v>1168059.95</v>
      </c>
      <c r="CC15" s="4">
        <f>BX15-CB15</f>
        <v>0</v>
      </c>
      <c r="CD15" s="70">
        <f>K15+L15+AV15-AW15</f>
        <v>-159075.35</v>
      </c>
      <c r="CE15" s="72">
        <f>CD15+W15-AS15</f>
        <v>-63442.00000000001</v>
      </c>
      <c r="CF15" s="72">
        <f>BR15-BP15</f>
        <v>0</v>
      </c>
      <c r="CG15" s="72">
        <f t="shared" si="35"/>
        <v>2297066.7</v>
      </c>
      <c r="CH15" s="72">
        <f>I15-AG15+AY15+AH15+BQ15</f>
        <v>8833.15</v>
      </c>
      <c r="CI15" s="35">
        <f>CH15+K15</f>
        <v>8833.15</v>
      </c>
      <c r="CJ15" s="57" t="str">
        <f t="shared" si="36"/>
        <v>-</v>
      </c>
      <c r="CK15" s="57" t="str">
        <f t="shared" si="37"/>
        <v>-</v>
      </c>
      <c r="CL15" s="148">
        <f t="shared" si="38"/>
        <v>-0.06925151542182036</v>
      </c>
      <c r="CM15" s="148">
        <f t="shared" si="39"/>
        <v>-0.027618701712057384</v>
      </c>
      <c r="CN15" s="148">
        <f t="shared" si="40"/>
        <v>0.003845404227922506</v>
      </c>
      <c r="CO15" s="148">
        <f t="shared" si="41"/>
        <v>0.003845404227922506</v>
      </c>
      <c r="CP15" s="148">
        <f t="shared" si="42"/>
        <v>0</v>
      </c>
      <c r="CQ15" s="148">
        <f t="shared" si="43"/>
        <v>0</v>
      </c>
      <c r="CR15" s="149">
        <f t="shared" si="44"/>
        <v>-3.354430030579111</v>
      </c>
      <c r="CS15" s="72">
        <f t="shared" si="45"/>
        <v>212811.75</v>
      </c>
      <c r="CT15" s="76">
        <f>Y15-K15-L15-V15</f>
        <v>2819314.9000000004</v>
      </c>
      <c r="CU15" s="76">
        <f>AU15-AR15</f>
        <v>2660239.5500000003</v>
      </c>
      <c r="CV15" s="76">
        <f>CU15-CT15</f>
        <v>-159075.3500000001</v>
      </c>
      <c r="CW15" s="76">
        <f>-V15+AR15</f>
        <v>0</v>
      </c>
      <c r="CX15" s="76">
        <f>CV15+CW15</f>
        <v>-159075.3500000001</v>
      </c>
      <c r="CY15" s="76">
        <f>CX15-K15-L15</f>
        <v>-159075.3500000001</v>
      </c>
      <c r="CZ15" s="76">
        <f>BR15-BP15</f>
        <v>0</v>
      </c>
      <c r="DA15" s="76">
        <f>K15+L15</f>
        <v>0</v>
      </c>
      <c r="DB15" s="76">
        <f>-CZ15+DA15+CY15</f>
        <v>-159075.3500000001</v>
      </c>
      <c r="DC15" s="76">
        <f>-BP15-DA15</f>
        <v>0</v>
      </c>
      <c r="DD15" s="76">
        <f>DB15+DC15+BR15</f>
        <v>-159075.3500000001</v>
      </c>
      <c r="DE15" s="76">
        <f>Z15+AA15+AB15</f>
        <v>459337.69999999995</v>
      </c>
      <c r="DF15" s="76">
        <f>CS15/B15</f>
        <v>170.2494</v>
      </c>
      <c r="DG15" s="76">
        <f>CH15/B15</f>
        <v>7.06652</v>
      </c>
      <c r="DH15" s="76">
        <f>DE15/B15</f>
        <v>367.47015999999996</v>
      </c>
      <c r="DI15" s="77">
        <f>CZ15/B15</f>
        <v>0</v>
      </c>
      <c r="DJ15" s="72">
        <f>DB15/B15</f>
        <v>-127.26028000000008</v>
      </c>
      <c r="DK15" s="151">
        <f t="shared" si="46"/>
        <v>112811.75</v>
      </c>
      <c r="DL15" s="72">
        <v>28</v>
      </c>
      <c r="DM15" s="72">
        <v>90</v>
      </c>
      <c r="DN15" s="63">
        <v>0</v>
      </c>
    </row>
    <row r="16" spans="1:118" ht="12.75">
      <c r="A16" s="49" t="s">
        <v>34</v>
      </c>
      <c r="B16" s="44">
        <v>577</v>
      </c>
      <c r="C16" s="36">
        <v>1149434</v>
      </c>
      <c r="D16" s="64">
        <v>1992.09</v>
      </c>
      <c r="E16" s="69">
        <v>57.77</v>
      </c>
      <c r="F16" s="124">
        <v>10</v>
      </c>
      <c r="G16" s="130">
        <f>(G44/($B$13+$B$16)*$B$16)</f>
        <v>0</v>
      </c>
      <c r="H16" s="130">
        <f aca="true" t="shared" si="58" ref="H16:BU16">(H44/($B$13+$B$16)*$B$16)</f>
        <v>0</v>
      </c>
      <c r="I16" s="130">
        <f t="shared" si="58"/>
        <v>0</v>
      </c>
      <c r="J16" s="130">
        <f t="shared" si="58"/>
        <v>0</v>
      </c>
      <c r="K16" s="130">
        <f t="shared" si="58"/>
        <v>0</v>
      </c>
      <c r="L16" s="130">
        <f t="shared" si="58"/>
        <v>0</v>
      </c>
      <c r="M16" s="41">
        <f t="shared" si="0"/>
        <v>0</v>
      </c>
      <c r="N16" s="130">
        <f t="shared" si="58"/>
        <v>0</v>
      </c>
      <c r="O16" s="130">
        <f t="shared" si="58"/>
        <v>0</v>
      </c>
      <c r="P16" s="130">
        <f t="shared" si="58"/>
        <v>0</v>
      </c>
      <c r="Q16" s="130">
        <f t="shared" si="58"/>
        <v>0</v>
      </c>
      <c r="R16" s="130">
        <f t="shared" si="58"/>
        <v>0</v>
      </c>
      <c r="S16" s="130">
        <f t="shared" si="58"/>
        <v>0</v>
      </c>
      <c r="T16" s="130">
        <f t="shared" si="58"/>
        <v>0</v>
      </c>
      <c r="U16" s="130">
        <f t="shared" si="58"/>
        <v>0</v>
      </c>
      <c r="V16" s="130">
        <f t="shared" si="58"/>
        <v>0</v>
      </c>
      <c r="W16" s="41">
        <f aca="true" t="shared" si="59" ref="W16:W31">SUM(R16:V16)</f>
        <v>0</v>
      </c>
      <c r="X16" s="130">
        <f t="shared" si="58"/>
        <v>0</v>
      </c>
      <c r="Y16" s="41">
        <f aca="true" t="shared" si="60" ref="Y16:Y31">SUM(G16:X16)-M16-W16</f>
        <v>0</v>
      </c>
      <c r="Z16" s="130">
        <f t="shared" si="58"/>
        <v>0</v>
      </c>
      <c r="AA16" s="130">
        <f t="shared" si="58"/>
        <v>0</v>
      </c>
      <c r="AB16" s="130">
        <f t="shared" si="58"/>
        <v>0</v>
      </c>
      <c r="AC16" s="130">
        <f t="shared" si="58"/>
        <v>0</v>
      </c>
      <c r="AD16" s="130">
        <f t="shared" si="58"/>
        <v>0</v>
      </c>
      <c r="AE16" s="41">
        <f aca="true" t="shared" si="61" ref="AE16:AE31">SUM(Z16:AD16)</f>
        <v>0</v>
      </c>
      <c r="AF16" s="130">
        <f t="shared" si="58"/>
        <v>0</v>
      </c>
      <c r="AG16" s="130">
        <f t="shared" si="58"/>
        <v>0</v>
      </c>
      <c r="AH16" s="130">
        <f t="shared" si="58"/>
        <v>0</v>
      </c>
      <c r="AI16" s="130">
        <f t="shared" si="58"/>
        <v>0</v>
      </c>
      <c r="AJ16" s="130">
        <f t="shared" si="58"/>
        <v>0</v>
      </c>
      <c r="AK16" s="130">
        <f t="shared" si="58"/>
        <v>0</v>
      </c>
      <c r="AL16" s="130">
        <f t="shared" si="58"/>
        <v>0</v>
      </c>
      <c r="AM16" s="130">
        <f t="shared" si="58"/>
        <v>0</v>
      </c>
      <c r="AN16" s="130">
        <f t="shared" si="58"/>
        <v>0</v>
      </c>
      <c r="AO16" s="130">
        <f t="shared" si="58"/>
        <v>0</v>
      </c>
      <c r="AP16" s="130">
        <f t="shared" si="58"/>
        <v>0</v>
      </c>
      <c r="AQ16" s="130">
        <f t="shared" si="58"/>
        <v>0</v>
      </c>
      <c r="AR16" s="130">
        <f t="shared" si="58"/>
        <v>0</v>
      </c>
      <c r="AS16" s="4">
        <f aca="true" t="shared" si="62" ref="AS16:AS31">SUM(AN16:AR16)</f>
        <v>0</v>
      </c>
      <c r="AT16" s="130">
        <f t="shared" si="58"/>
        <v>0</v>
      </c>
      <c r="AU16" s="4">
        <f aca="true" t="shared" si="63" ref="AU16:AU31">SUM(Z16:AT16)-AE16-AH16-AS16</f>
        <v>0</v>
      </c>
      <c r="AV16" s="130">
        <f t="shared" si="58"/>
        <v>0</v>
      </c>
      <c r="AW16" s="130">
        <f t="shared" si="58"/>
        <v>0</v>
      </c>
      <c r="AX16" s="4">
        <f aca="true" t="shared" si="64" ref="AX16:AX31">Y16-AU16+AV16-AW16</f>
        <v>0</v>
      </c>
      <c r="AY16" s="130">
        <f t="shared" si="58"/>
        <v>0</v>
      </c>
      <c r="AZ16" s="130">
        <f t="shared" si="58"/>
        <v>0</v>
      </c>
      <c r="BA16" s="130">
        <f t="shared" si="58"/>
        <v>0</v>
      </c>
      <c r="BB16" s="130">
        <f t="shared" si="58"/>
        <v>0</v>
      </c>
      <c r="BC16" s="130">
        <f t="shared" si="58"/>
        <v>0</v>
      </c>
      <c r="BD16" s="130">
        <f t="shared" si="58"/>
        <v>0</v>
      </c>
      <c r="BE16" s="130">
        <f t="shared" si="58"/>
        <v>0</v>
      </c>
      <c r="BF16" s="41">
        <f aca="true" t="shared" si="65" ref="BF16:BF31">SUM(AZ16:BE16)</f>
        <v>0</v>
      </c>
      <c r="BG16" s="130">
        <f t="shared" si="58"/>
        <v>0</v>
      </c>
      <c r="BH16" s="130">
        <f t="shared" si="58"/>
        <v>0</v>
      </c>
      <c r="BI16" s="130">
        <f t="shared" si="58"/>
        <v>0</v>
      </c>
      <c r="BJ16" s="130">
        <f t="shared" si="58"/>
        <v>0</v>
      </c>
      <c r="BK16" s="130">
        <f t="shared" si="58"/>
        <v>0</v>
      </c>
      <c r="BL16" s="130">
        <f t="shared" si="58"/>
        <v>0</v>
      </c>
      <c r="BM16" s="130">
        <f t="shared" si="58"/>
        <v>0</v>
      </c>
      <c r="BN16" s="130">
        <f t="shared" si="58"/>
        <v>0</v>
      </c>
      <c r="BO16" s="41">
        <f aca="true" t="shared" si="66" ref="BO16:BO31">SUM(BG16:BN16)</f>
        <v>0</v>
      </c>
      <c r="BP16" s="130">
        <f t="shared" si="58"/>
        <v>0</v>
      </c>
      <c r="BQ16" s="130">
        <f t="shared" si="58"/>
        <v>0</v>
      </c>
      <c r="BR16" s="130">
        <f t="shared" si="58"/>
        <v>0</v>
      </c>
      <c r="BS16" s="41">
        <f aca="true" t="shared" si="67" ref="BS16:BS31">+BF16-BO16+BP16+BQ16-BR16</f>
        <v>0</v>
      </c>
      <c r="BT16" s="130">
        <f t="shared" si="58"/>
        <v>0</v>
      </c>
      <c r="BU16" s="130">
        <f t="shared" si="58"/>
        <v>0</v>
      </c>
      <c r="BV16" s="130">
        <f aca="true" t="shared" si="68" ref="BV16:CA16">(BV44/($B$13+$B$16)*$B$16)</f>
        <v>0</v>
      </c>
      <c r="BW16" s="130">
        <f t="shared" si="68"/>
        <v>0</v>
      </c>
      <c r="BX16" s="4">
        <f aca="true" t="shared" si="69" ref="BX16:BX31">SUM(BT16:BW16)</f>
        <v>0</v>
      </c>
      <c r="BY16" s="130">
        <f t="shared" si="68"/>
        <v>0</v>
      </c>
      <c r="BZ16" s="130">
        <f t="shared" si="68"/>
        <v>0</v>
      </c>
      <c r="CA16" s="130">
        <f t="shared" si="68"/>
        <v>0</v>
      </c>
      <c r="CB16" s="4">
        <f aca="true" t="shared" si="70" ref="CB16:CB31">SUM(BY16:CA16)</f>
        <v>0</v>
      </c>
      <c r="CC16" s="4">
        <f aca="true" t="shared" si="71" ref="CC16:CC31">BX16-CB16</f>
        <v>0</v>
      </c>
      <c r="CD16" s="70">
        <f aca="true" t="shared" si="72" ref="CD16:CD31">K16+L16+AV16-AW16</f>
        <v>0</v>
      </c>
      <c r="CE16" s="72">
        <f aca="true" t="shared" si="73" ref="CE16:CE31">CD16+W16-AS16</f>
        <v>0</v>
      </c>
      <c r="CF16" s="72">
        <f aca="true" t="shared" si="74" ref="CF16:CF31">BR16-BP16</f>
        <v>0</v>
      </c>
      <c r="CG16" s="72">
        <f t="shared" si="35"/>
        <v>0</v>
      </c>
      <c r="CH16" s="72">
        <f aca="true" t="shared" si="75" ref="CH16:CH31">I16-AG16+AY16+AH16+BQ16</f>
        <v>0</v>
      </c>
      <c r="CI16" s="35">
        <f aca="true" t="shared" si="76" ref="CI16:CI31">CH16+K16</f>
        <v>0</v>
      </c>
      <c r="CJ16" s="57" t="str">
        <f t="shared" si="36"/>
        <v>-</v>
      </c>
      <c r="CK16" s="57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72">
        <f t="shared" si="45"/>
        <v>0</v>
      </c>
      <c r="CT16" s="76">
        <f aca="true" t="shared" si="77" ref="CT16:CT31">Y16-K16-L16-V16</f>
        <v>0</v>
      </c>
      <c r="CU16" s="76">
        <f aca="true" t="shared" si="78" ref="CU16:CU31">AU16-AR16</f>
        <v>0</v>
      </c>
      <c r="CV16" s="76">
        <f aca="true" t="shared" si="79" ref="CV16:CV31">CU16-CT16</f>
        <v>0</v>
      </c>
      <c r="CW16" s="76">
        <f aca="true" t="shared" si="80" ref="CW16:CW31">-V16+AR16</f>
        <v>0</v>
      </c>
      <c r="CX16" s="76">
        <f aca="true" t="shared" si="81" ref="CX16:CX31">CV16+CW16</f>
        <v>0</v>
      </c>
      <c r="CY16" s="76">
        <f aca="true" t="shared" si="82" ref="CY16:CY31">CX16-K16-L16</f>
        <v>0</v>
      </c>
      <c r="CZ16" s="76">
        <f aca="true" t="shared" si="83" ref="CZ16:CZ31">BR16-BP16</f>
        <v>0</v>
      </c>
      <c r="DA16" s="76">
        <f aca="true" t="shared" si="84" ref="DA16:DA31">K16+L16</f>
        <v>0</v>
      </c>
      <c r="DB16" s="76">
        <f aca="true" t="shared" si="85" ref="DB16:DB31">-CZ16+DA16+CY16</f>
        <v>0</v>
      </c>
      <c r="DC16" s="76">
        <f aca="true" t="shared" si="86" ref="DC16:DC31">-BP16-DA16</f>
        <v>0</v>
      </c>
      <c r="DD16" s="76">
        <f aca="true" t="shared" si="87" ref="DD16:DD31">DB16+DC16+BR16</f>
        <v>0</v>
      </c>
      <c r="DE16" s="76">
        <f aca="true" t="shared" si="88" ref="DE16:DE31">Z16+AA16+AB16</f>
        <v>0</v>
      </c>
      <c r="DF16" s="76">
        <f aca="true" t="shared" si="89" ref="DF16:DF31">CS16/B16</f>
        <v>0</v>
      </c>
      <c r="DG16" s="76">
        <f aca="true" t="shared" si="90" ref="DG16:DG31">CH16/B16</f>
        <v>0</v>
      </c>
      <c r="DH16" s="76">
        <f aca="true" t="shared" si="91" ref="DH16:DH31">DE16/B16</f>
        <v>0</v>
      </c>
      <c r="DI16" s="77">
        <f aca="true" t="shared" si="92" ref="DI16:DI31">CZ16/B16</f>
        <v>0</v>
      </c>
      <c r="DJ16" s="72">
        <f aca="true" t="shared" si="93" ref="DJ16:DJ31">DB16/B16</f>
        <v>0</v>
      </c>
      <c r="DK16" s="151">
        <f t="shared" si="46"/>
        <v>0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39">
        <v>396</v>
      </c>
      <c r="C17" s="4">
        <v>1002149</v>
      </c>
      <c r="D17" s="66">
        <v>2530.68</v>
      </c>
      <c r="E17" s="66">
        <v>73.39</v>
      </c>
      <c r="F17" s="8">
        <v>10</v>
      </c>
      <c r="G17" s="142">
        <f>(G49/($B$49)*$B$17)+(G50/($B$50)*$B$17)+(G47)</f>
        <v>504637.6783689499</v>
      </c>
      <c r="H17" s="142">
        <f aca="true" t="shared" si="94" ref="H17:BU17">(H49/($B$49)*$B$17)+(H50/($B$50)*$B$17)+(H47)</f>
        <v>109136.68584266232</v>
      </c>
      <c r="I17" s="142">
        <f t="shared" si="94"/>
        <v>14071.802163793736</v>
      </c>
      <c r="J17" s="142">
        <f t="shared" si="94"/>
        <v>0</v>
      </c>
      <c r="K17" s="142">
        <f t="shared" si="94"/>
        <v>0</v>
      </c>
      <c r="L17" s="142">
        <f t="shared" si="94"/>
        <v>0</v>
      </c>
      <c r="M17" s="41">
        <f t="shared" si="0"/>
        <v>0</v>
      </c>
      <c r="N17" s="142">
        <f t="shared" si="94"/>
        <v>0</v>
      </c>
      <c r="O17" s="142">
        <f t="shared" si="94"/>
        <v>220868.59545875812</v>
      </c>
      <c r="P17" s="142">
        <f t="shared" si="94"/>
        <v>7500</v>
      </c>
      <c r="Q17" s="142">
        <f t="shared" si="94"/>
        <v>0</v>
      </c>
      <c r="R17" s="142">
        <f t="shared" si="94"/>
        <v>0</v>
      </c>
      <c r="S17" s="142">
        <f t="shared" si="94"/>
        <v>79072.55</v>
      </c>
      <c r="T17" s="142">
        <f t="shared" si="94"/>
        <v>0</v>
      </c>
      <c r="U17" s="142">
        <f t="shared" si="94"/>
        <v>0</v>
      </c>
      <c r="V17" s="142">
        <f t="shared" si="94"/>
        <v>0</v>
      </c>
      <c r="W17" s="41">
        <f t="shared" si="59"/>
        <v>79072.55</v>
      </c>
      <c r="X17" s="142">
        <f t="shared" si="94"/>
        <v>1506.6037280974276</v>
      </c>
      <c r="Y17" s="41">
        <f t="shared" si="60"/>
        <v>936793.9155622616</v>
      </c>
      <c r="Z17" s="142">
        <f t="shared" si="94"/>
        <v>155921.7</v>
      </c>
      <c r="AA17" s="142">
        <f t="shared" si="94"/>
        <v>0</v>
      </c>
      <c r="AB17" s="142">
        <f t="shared" si="94"/>
        <v>0</v>
      </c>
      <c r="AC17" s="142">
        <f t="shared" si="94"/>
        <v>255.8</v>
      </c>
      <c r="AD17" s="142">
        <f t="shared" si="94"/>
        <v>0</v>
      </c>
      <c r="AE17" s="41">
        <f t="shared" si="61"/>
        <v>156177.5</v>
      </c>
      <c r="AF17" s="142">
        <f t="shared" si="94"/>
        <v>0</v>
      </c>
      <c r="AG17" s="142">
        <f t="shared" si="94"/>
        <v>752.15</v>
      </c>
      <c r="AH17" s="142">
        <f t="shared" si="94"/>
        <v>0</v>
      </c>
      <c r="AI17" s="142">
        <f t="shared" si="94"/>
        <v>812.75421686747</v>
      </c>
      <c r="AJ17" s="142">
        <f t="shared" si="94"/>
        <v>177688.64158011443</v>
      </c>
      <c r="AK17" s="142">
        <f t="shared" si="94"/>
        <v>182782.0777848813</v>
      </c>
      <c r="AL17" s="142">
        <f t="shared" si="94"/>
        <v>228391.80616019442</v>
      </c>
      <c r="AM17" s="142">
        <f t="shared" si="94"/>
        <v>0</v>
      </c>
      <c r="AN17" s="142">
        <f t="shared" si="94"/>
        <v>0</v>
      </c>
      <c r="AO17" s="142">
        <f t="shared" si="94"/>
        <v>0</v>
      </c>
      <c r="AP17" s="142">
        <f t="shared" si="94"/>
        <v>0</v>
      </c>
      <c r="AQ17" s="142">
        <f t="shared" si="94"/>
        <v>0</v>
      </c>
      <c r="AR17" s="142">
        <f t="shared" si="94"/>
        <v>0</v>
      </c>
      <c r="AS17" s="4">
        <f t="shared" si="62"/>
        <v>0</v>
      </c>
      <c r="AT17" s="142">
        <f t="shared" si="94"/>
        <v>5816.685820203892</v>
      </c>
      <c r="AU17" s="4">
        <f t="shared" si="63"/>
        <v>752421.6155622615</v>
      </c>
      <c r="AV17" s="142">
        <f t="shared" si="94"/>
        <v>0</v>
      </c>
      <c r="AW17" s="142">
        <f t="shared" si="94"/>
        <v>184372.3</v>
      </c>
      <c r="AX17" s="4">
        <f t="shared" si="64"/>
        <v>0</v>
      </c>
      <c r="AY17" s="142">
        <f t="shared" si="94"/>
        <v>0</v>
      </c>
      <c r="AZ17" s="142">
        <f t="shared" si="94"/>
        <v>0</v>
      </c>
      <c r="BA17" s="142">
        <f t="shared" si="94"/>
        <v>0</v>
      </c>
      <c r="BB17" s="142">
        <f t="shared" si="94"/>
        <v>0</v>
      </c>
      <c r="BC17" s="142">
        <f t="shared" si="94"/>
        <v>0</v>
      </c>
      <c r="BD17" s="142">
        <f t="shared" si="94"/>
        <v>0</v>
      </c>
      <c r="BE17" s="142">
        <f t="shared" si="94"/>
        <v>0</v>
      </c>
      <c r="BF17" s="41">
        <f t="shared" si="65"/>
        <v>0</v>
      </c>
      <c r="BG17" s="142">
        <f t="shared" si="94"/>
        <v>0</v>
      </c>
      <c r="BH17" s="142">
        <f t="shared" si="94"/>
        <v>0</v>
      </c>
      <c r="BI17" s="142">
        <f t="shared" si="94"/>
        <v>0</v>
      </c>
      <c r="BJ17" s="142">
        <f t="shared" si="94"/>
        <v>0</v>
      </c>
      <c r="BK17" s="142">
        <f t="shared" si="94"/>
        <v>0</v>
      </c>
      <c r="BL17" s="142">
        <f t="shared" si="94"/>
        <v>0</v>
      </c>
      <c r="BM17" s="142">
        <f t="shared" si="94"/>
        <v>0</v>
      </c>
      <c r="BN17" s="142">
        <f t="shared" si="94"/>
        <v>0</v>
      </c>
      <c r="BO17" s="41">
        <f t="shared" si="66"/>
        <v>0</v>
      </c>
      <c r="BP17" s="142">
        <f t="shared" si="94"/>
        <v>0</v>
      </c>
      <c r="BQ17" s="142">
        <f t="shared" si="94"/>
        <v>0</v>
      </c>
      <c r="BR17" s="142">
        <f t="shared" si="94"/>
        <v>0</v>
      </c>
      <c r="BS17" s="41">
        <f t="shared" si="67"/>
        <v>0</v>
      </c>
      <c r="BT17" s="142">
        <f t="shared" si="94"/>
        <v>887927.36</v>
      </c>
      <c r="BU17" s="142">
        <f t="shared" si="94"/>
        <v>0</v>
      </c>
      <c r="BV17" s="142">
        <f aca="true" t="shared" si="95" ref="BV17:CA17">(BV49/($B$49)*$B$17)+(BV50/($B$50)*$B$17)+(BV47)</f>
        <v>0</v>
      </c>
      <c r="BW17" s="142">
        <f t="shared" si="95"/>
        <v>0</v>
      </c>
      <c r="BX17" s="4">
        <f t="shared" si="69"/>
        <v>887927.36</v>
      </c>
      <c r="BY17" s="142">
        <f t="shared" si="95"/>
        <v>830075.4</v>
      </c>
      <c r="BZ17" s="142">
        <f t="shared" si="95"/>
        <v>0</v>
      </c>
      <c r="CA17" s="142">
        <f t="shared" si="95"/>
        <v>57851.96</v>
      </c>
      <c r="CB17" s="4">
        <f t="shared" si="70"/>
        <v>887927.36</v>
      </c>
      <c r="CC17" s="4">
        <f t="shared" si="71"/>
        <v>0</v>
      </c>
      <c r="CD17" s="70">
        <f t="shared" si="72"/>
        <v>-184372.3</v>
      </c>
      <c r="CE17" s="72">
        <f t="shared" si="73"/>
        <v>-105299.74999999999</v>
      </c>
      <c r="CF17" s="72">
        <f t="shared" si="74"/>
        <v>0</v>
      </c>
      <c r="CG17" s="72">
        <f t="shared" si="35"/>
        <v>746604.9297420577</v>
      </c>
      <c r="CH17" s="72">
        <f t="shared" si="75"/>
        <v>13319.652163793737</v>
      </c>
      <c r="CI17" s="35">
        <f t="shared" si="76"/>
        <v>13319.652163793737</v>
      </c>
      <c r="CJ17" s="57" t="str">
        <f t="shared" si="36"/>
        <v>-</v>
      </c>
      <c r="CK17" s="57" t="str">
        <f t="shared" si="37"/>
        <v>-</v>
      </c>
      <c r="CL17" s="148">
        <f t="shared" si="38"/>
        <v>-0.24694760596303353</v>
      </c>
      <c r="CM17" s="148">
        <f t="shared" si="39"/>
        <v>-0.14103811240086464</v>
      </c>
      <c r="CN17" s="148">
        <f t="shared" si="40"/>
        <v>0.01784029495813201</v>
      </c>
      <c r="CO17" s="148">
        <f t="shared" si="41"/>
        <v>0.01784029495813201</v>
      </c>
      <c r="CP17" s="148" t="str">
        <f t="shared" si="42"/>
        <v>-</v>
      </c>
      <c r="CQ17" s="148" t="str">
        <f t="shared" si="43"/>
        <v>-</v>
      </c>
      <c r="CR17" s="149">
        <f t="shared" si="44"/>
        <v>-0.5494026339093869</v>
      </c>
      <c r="CS17" s="72">
        <f t="shared" si="45"/>
        <v>57851.95999999996</v>
      </c>
      <c r="CT17" s="76">
        <f t="shared" si="77"/>
        <v>936793.9155622616</v>
      </c>
      <c r="CU17" s="76">
        <f t="shared" si="78"/>
        <v>752421.6155622615</v>
      </c>
      <c r="CV17" s="76">
        <f t="shared" si="79"/>
        <v>-184372.30000000005</v>
      </c>
      <c r="CW17" s="76">
        <f t="shared" si="80"/>
        <v>0</v>
      </c>
      <c r="CX17" s="76">
        <f t="shared" si="81"/>
        <v>-184372.30000000005</v>
      </c>
      <c r="CY17" s="76">
        <f t="shared" si="82"/>
        <v>-184372.30000000005</v>
      </c>
      <c r="CZ17" s="76">
        <f t="shared" si="83"/>
        <v>0</v>
      </c>
      <c r="DA17" s="76">
        <f t="shared" si="84"/>
        <v>0</v>
      </c>
      <c r="DB17" s="76">
        <f t="shared" si="85"/>
        <v>-184372.30000000005</v>
      </c>
      <c r="DC17" s="76">
        <f t="shared" si="86"/>
        <v>0</v>
      </c>
      <c r="DD17" s="76">
        <f t="shared" si="87"/>
        <v>-184372.30000000005</v>
      </c>
      <c r="DE17" s="76">
        <f t="shared" si="88"/>
        <v>155921.7</v>
      </c>
      <c r="DF17" s="76">
        <f t="shared" si="89"/>
        <v>146.090808080808</v>
      </c>
      <c r="DG17" s="76">
        <f t="shared" si="90"/>
        <v>33.6354852621054</v>
      </c>
      <c r="DH17" s="76">
        <f t="shared" si="91"/>
        <v>393.7416666666667</v>
      </c>
      <c r="DI17" s="77">
        <f t="shared" si="92"/>
        <v>0</v>
      </c>
      <c r="DJ17" s="72">
        <f t="shared" si="93"/>
        <v>-465.5866161616163</v>
      </c>
      <c r="DK17" s="151">
        <f t="shared" si="46"/>
        <v>57851.96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4">
        <v>1057</v>
      </c>
      <c r="C18" s="36">
        <v>7415796</v>
      </c>
      <c r="D18" s="64">
        <v>7015.89</v>
      </c>
      <c r="E18" s="64">
        <v>203.47</v>
      </c>
      <c r="F18" s="124">
        <v>13</v>
      </c>
      <c r="G18" s="130">
        <v>975419.9</v>
      </c>
      <c r="H18" s="40">
        <v>229627.35</v>
      </c>
      <c r="I18" s="40">
        <v>92327.6</v>
      </c>
      <c r="J18" s="40">
        <v>0</v>
      </c>
      <c r="K18" s="40">
        <v>489771.1</v>
      </c>
      <c r="L18" s="40">
        <v>0</v>
      </c>
      <c r="M18" s="41">
        <f t="shared" si="0"/>
        <v>489771.1</v>
      </c>
      <c r="N18" s="40">
        <v>0</v>
      </c>
      <c r="O18" s="40">
        <v>276793.15</v>
      </c>
      <c r="P18" s="40">
        <v>9030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t="shared" si="59"/>
        <v>0</v>
      </c>
      <c r="X18" s="40">
        <v>9428</v>
      </c>
      <c r="Y18" s="41">
        <f t="shared" si="60"/>
        <v>2082397.1</v>
      </c>
      <c r="Z18" s="40">
        <v>1090790.95</v>
      </c>
      <c r="AA18" s="40">
        <v>0</v>
      </c>
      <c r="AB18" s="40">
        <v>0</v>
      </c>
      <c r="AC18" s="40">
        <v>31539.85</v>
      </c>
      <c r="AD18" s="40">
        <v>0</v>
      </c>
      <c r="AE18" s="41">
        <f t="shared" si="61"/>
        <v>1122330.8</v>
      </c>
      <c r="AF18" s="40">
        <v>0</v>
      </c>
      <c r="AG18" s="40">
        <v>7309.1</v>
      </c>
      <c r="AH18" s="40">
        <v>0</v>
      </c>
      <c r="AI18" s="40">
        <v>130973.9</v>
      </c>
      <c r="AJ18" s="40">
        <v>394200</v>
      </c>
      <c r="AK18" s="40">
        <v>500</v>
      </c>
      <c r="AL18" s="40">
        <v>421606.6</v>
      </c>
      <c r="AM18" s="40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4">
        <f t="shared" si="62"/>
        <v>0</v>
      </c>
      <c r="AT18" s="36">
        <v>9428</v>
      </c>
      <c r="AU18" s="4">
        <f t="shared" si="63"/>
        <v>2086348.4000000001</v>
      </c>
      <c r="AV18" s="36">
        <v>3951.3</v>
      </c>
      <c r="AW18" s="36">
        <v>0</v>
      </c>
      <c r="AX18" s="4">
        <f t="shared" si="64"/>
        <v>-4.638422979041934E-11</v>
      </c>
      <c r="AY18" s="40">
        <v>0</v>
      </c>
      <c r="AZ18" s="40">
        <v>244743.9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t="shared" si="65"/>
        <v>244743.9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1">
        <f t="shared" si="66"/>
        <v>0</v>
      </c>
      <c r="BP18" s="40">
        <v>0</v>
      </c>
      <c r="BQ18" s="40">
        <v>0</v>
      </c>
      <c r="BR18" s="40">
        <v>244743.9</v>
      </c>
      <c r="BS18" s="41">
        <f t="shared" si="67"/>
        <v>0</v>
      </c>
      <c r="BT18" s="36">
        <v>1103256.7</v>
      </c>
      <c r="BU18" s="36">
        <v>1554972.8</v>
      </c>
      <c r="BV18" s="36">
        <v>0</v>
      </c>
      <c r="BW18" s="36">
        <v>0</v>
      </c>
      <c r="BX18" s="4">
        <f t="shared" si="69"/>
        <v>2658229.5</v>
      </c>
      <c r="BY18" s="36">
        <v>2576875.95</v>
      </c>
      <c r="BZ18" s="36">
        <v>0</v>
      </c>
      <c r="CA18" s="36">
        <v>81353.55</v>
      </c>
      <c r="CB18" s="4">
        <f t="shared" si="70"/>
        <v>2658229.5</v>
      </c>
      <c r="CC18" s="4">
        <f t="shared" si="71"/>
        <v>0</v>
      </c>
      <c r="CD18" s="70">
        <f t="shared" si="72"/>
        <v>493722.39999999997</v>
      </c>
      <c r="CE18" s="72">
        <f t="shared" si="73"/>
        <v>493722.39999999997</v>
      </c>
      <c r="CF18" s="72">
        <f t="shared" si="74"/>
        <v>244743.9</v>
      </c>
      <c r="CG18" s="72">
        <f t="shared" si="35"/>
        <v>2076920.4000000001</v>
      </c>
      <c r="CH18" s="72">
        <f t="shared" si="75"/>
        <v>85018.5</v>
      </c>
      <c r="CI18" s="35">
        <f t="shared" si="76"/>
        <v>574789.6</v>
      </c>
      <c r="CJ18" s="57">
        <f t="shared" si="36"/>
        <v>2.0173021676944756</v>
      </c>
      <c r="CK18" s="57">
        <f t="shared" si="37"/>
        <v>2.0173021676944756</v>
      </c>
      <c r="CL18" s="148">
        <f t="shared" si="38"/>
        <v>0.23771849898532457</v>
      </c>
      <c r="CM18" s="148">
        <f t="shared" si="39"/>
        <v>0.23771849898532457</v>
      </c>
      <c r="CN18" s="148">
        <f t="shared" si="40"/>
        <v>0.040934886093853186</v>
      </c>
      <c r="CO18" s="148">
        <f t="shared" si="41"/>
        <v>0.27675090484931436</v>
      </c>
      <c r="CP18" s="148">
        <f t="shared" si="42"/>
        <v>0.2395268669098365</v>
      </c>
      <c r="CQ18" s="148">
        <f t="shared" si="43"/>
        <v>0.2395268669098365</v>
      </c>
      <c r="CR18" s="149">
        <f t="shared" si="44"/>
        <v>-2.984712158087217</v>
      </c>
      <c r="CS18" s="72">
        <f t="shared" si="45"/>
        <v>-1473619.2500000002</v>
      </c>
      <c r="CT18" s="76">
        <f t="shared" si="77"/>
        <v>1592626</v>
      </c>
      <c r="CU18" s="76">
        <f t="shared" si="78"/>
        <v>2086348.4000000001</v>
      </c>
      <c r="CV18" s="76">
        <f t="shared" si="79"/>
        <v>493722.40000000014</v>
      </c>
      <c r="CW18" s="76">
        <f t="shared" si="80"/>
        <v>0</v>
      </c>
      <c r="CX18" s="76">
        <f t="shared" si="81"/>
        <v>493722.40000000014</v>
      </c>
      <c r="CY18" s="76">
        <f t="shared" si="82"/>
        <v>3951.300000000163</v>
      </c>
      <c r="CZ18" s="76">
        <f t="shared" si="83"/>
        <v>244743.9</v>
      </c>
      <c r="DA18" s="76">
        <f t="shared" si="84"/>
        <v>489771.1</v>
      </c>
      <c r="DB18" s="76">
        <f t="shared" si="85"/>
        <v>248978.50000000015</v>
      </c>
      <c r="DC18" s="76">
        <f t="shared" si="86"/>
        <v>-489771.1</v>
      </c>
      <c r="DD18" s="76">
        <f t="shared" si="87"/>
        <v>3951.300000000163</v>
      </c>
      <c r="DE18" s="76">
        <f t="shared" si="88"/>
        <v>1090790.95</v>
      </c>
      <c r="DF18" s="76">
        <f t="shared" si="89"/>
        <v>-1394.1525543992434</v>
      </c>
      <c r="DG18" s="76">
        <f t="shared" si="90"/>
        <v>80.43377483443709</v>
      </c>
      <c r="DH18" s="76">
        <f t="shared" si="91"/>
        <v>1031.9687322611164</v>
      </c>
      <c r="DI18" s="77">
        <f t="shared" si="92"/>
        <v>231.54578997161778</v>
      </c>
      <c r="DJ18" s="72">
        <f t="shared" si="93"/>
        <v>235.55203405865672</v>
      </c>
      <c r="DK18" s="151">
        <f t="shared" si="46"/>
        <v>-1473619.25</v>
      </c>
      <c r="DL18" s="136">
        <v>22</v>
      </c>
      <c r="DM18" s="136">
        <v>95</v>
      </c>
      <c r="DN18" s="65">
        <v>0</v>
      </c>
    </row>
    <row r="19" spans="1:118" ht="12.75">
      <c r="A19" s="50" t="s">
        <v>35</v>
      </c>
      <c r="B19" s="39">
        <v>2879</v>
      </c>
      <c r="C19" s="4">
        <v>9157502</v>
      </c>
      <c r="D19" s="66">
        <v>3180.79</v>
      </c>
      <c r="E19" s="66">
        <v>92.25</v>
      </c>
      <c r="F19" s="8">
        <v>14</v>
      </c>
      <c r="G19" s="129">
        <v>2025349.15</v>
      </c>
      <c r="H19" s="41">
        <v>439370.6</v>
      </c>
      <c r="I19" s="41">
        <v>361321.95</v>
      </c>
      <c r="J19" s="41">
        <v>0</v>
      </c>
      <c r="K19" s="41">
        <v>35000</v>
      </c>
      <c r="L19" s="41">
        <v>0</v>
      </c>
      <c r="M19" s="41">
        <f t="shared" si="0"/>
        <v>35000</v>
      </c>
      <c r="N19" s="41">
        <v>0</v>
      </c>
      <c r="O19" s="41">
        <v>790918.9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59"/>
        <v>0</v>
      </c>
      <c r="X19" s="41">
        <v>349626.3</v>
      </c>
      <c r="Y19" s="41">
        <f t="shared" si="60"/>
        <v>4001586.9</v>
      </c>
      <c r="Z19" s="41">
        <v>1478278.4</v>
      </c>
      <c r="AA19" s="41">
        <v>82824.35</v>
      </c>
      <c r="AB19" s="41">
        <v>0</v>
      </c>
      <c r="AC19" s="41">
        <v>18128.05</v>
      </c>
      <c r="AD19" s="41">
        <v>0</v>
      </c>
      <c r="AE19" s="41">
        <f t="shared" si="61"/>
        <v>1579230.8</v>
      </c>
      <c r="AF19" s="41">
        <v>0</v>
      </c>
      <c r="AG19" s="41">
        <v>7639.2</v>
      </c>
      <c r="AH19" s="41">
        <v>0</v>
      </c>
      <c r="AI19" s="41">
        <v>47833.5</v>
      </c>
      <c r="AJ19" s="41">
        <v>986013</v>
      </c>
      <c r="AK19" s="41">
        <v>0</v>
      </c>
      <c r="AL19" s="41">
        <v>915602.2</v>
      </c>
      <c r="AM19" s="41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2"/>
        <v>0</v>
      </c>
      <c r="AT19" s="4">
        <v>449585.7</v>
      </c>
      <c r="AU19" s="4">
        <f t="shared" si="63"/>
        <v>3985904.4000000013</v>
      </c>
      <c r="AV19" s="4">
        <v>0</v>
      </c>
      <c r="AW19" s="4">
        <v>15682.5</v>
      </c>
      <c r="AX19" s="4">
        <f t="shared" si="64"/>
        <v>-1.3969838619232178E-09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5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66"/>
        <v>0</v>
      </c>
      <c r="BP19" s="41">
        <v>0</v>
      </c>
      <c r="BQ19" s="41">
        <v>0</v>
      </c>
      <c r="BR19" s="41">
        <v>0</v>
      </c>
      <c r="BS19" s="41">
        <f t="shared" si="67"/>
        <v>0</v>
      </c>
      <c r="BT19" s="4">
        <v>2612690.95</v>
      </c>
      <c r="BU19" s="4">
        <v>4942511.6</v>
      </c>
      <c r="BV19" s="4">
        <v>0</v>
      </c>
      <c r="BW19" s="4">
        <v>955196.22</v>
      </c>
      <c r="BX19" s="4">
        <f t="shared" si="69"/>
        <v>8510398.77</v>
      </c>
      <c r="BY19" s="4">
        <v>8510398.77</v>
      </c>
      <c r="BZ19" s="4">
        <v>0</v>
      </c>
      <c r="CA19" s="4">
        <v>0</v>
      </c>
      <c r="CB19" s="4">
        <f t="shared" si="70"/>
        <v>8510398.77</v>
      </c>
      <c r="CC19" s="4">
        <f t="shared" si="71"/>
        <v>0</v>
      </c>
      <c r="CD19" s="70">
        <f t="shared" si="72"/>
        <v>19317.5</v>
      </c>
      <c r="CE19" s="72">
        <f t="shared" si="73"/>
        <v>19317.5</v>
      </c>
      <c r="CF19" s="72">
        <f t="shared" si="74"/>
        <v>0</v>
      </c>
      <c r="CG19" s="72">
        <f t="shared" si="35"/>
        <v>3536318.700000001</v>
      </c>
      <c r="CH19" s="72">
        <f t="shared" si="75"/>
        <v>353682.75</v>
      </c>
      <c r="CI19" s="35">
        <f t="shared" si="76"/>
        <v>388682.75</v>
      </c>
      <c r="CJ19" s="57" t="str">
        <f t="shared" si="36"/>
        <v>-</v>
      </c>
      <c r="CK19" s="57" t="str">
        <f t="shared" si="37"/>
        <v>-</v>
      </c>
      <c r="CL19" s="148">
        <f t="shared" si="38"/>
        <v>0.005462601546630962</v>
      </c>
      <c r="CM19" s="148">
        <f t="shared" si="39"/>
        <v>0.005462601546630962</v>
      </c>
      <c r="CN19" s="148">
        <f t="shared" si="40"/>
        <v>0.10001438784349383</v>
      </c>
      <c r="CO19" s="148">
        <f t="shared" si="41"/>
        <v>0.10991168584437819</v>
      </c>
      <c r="CP19" s="148">
        <f t="shared" si="42"/>
        <v>0.00703162600364407</v>
      </c>
      <c r="CQ19" s="148">
        <f t="shared" si="43"/>
        <v>0.00703162600364407</v>
      </c>
      <c r="CR19" s="149">
        <f t="shared" si="44"/>
        <v>-305.3038861136275</v>
      </c>
      <c r="CS19" s="72">
        <f t="shared" si="45"/>
        <v>-5897707.819999999</v>
      </c>
      <c r="CT19" s="76">
        <f t="shared" si="77"/>
        <v>3966586.9</v>
      </c>
      <c r="CU19" s="76">
        <f t="shared" si="78"/>
        <v>3985904.4000000013</v>
      </c>
      <c r="CV19" s="76">
        <f t="shared" si="79"/>
        <v>19317.500000001397</v>
      </c>
      <c r="CW19" s="76">
        <f t="shared" si="80"/>
        <v>0</v>
      </c>
      <c r="CX19" s="76">
        <f t="shared" si="81"/>
        <v>19317.500000001397</v>
      </c>
      <c r="CY19" s="76">
        <f t="shared" si="82"/>
        <v>-15682.499999998603</v>
      </c>
      <c r="CZ19" s="76">
        <f t="shared" si="83"/>
        <v>0</v>
      </c>
      <c r="DA19" s="76">
        <f t="shared" si="84"/>
        <v>35000</v>
      </c>
      <c r="DB19" s="76">
        <f t="shared" si="85"/>
        <v>19317.500000001397</v>
      </c>
      <c r="DC19" s="76">
        <f t="shared" si="86"/>
        <v>-35000</v>
      </c>
      <c r="DD19" s="76">
        <f t="shared" si="87"/>
        <v>-15682.499999998603</v>
      </c>
      <c r="DE19" s="76">
        <f t="shared" si="88"/>
        <v>1561102.75</v>
      </c>
      <c r="DF19" s="76">
        <f t="shared" si="89"/>
        <v>-2048.5265092045847</v>
      </c>
      <c r="DG19" s="76">
        <f t="shared" si="90"/>
        <v>122.84916637721432</v>
      </c>
      <c r="DH19" s="76">
        <f t="shared" si="91"/>
        <v>542.237843001042</v>
      </c>
      <c r="DI19" s="77">
        <f t="shared" si="92"/>
        <v>0</v>
      </c>
      <c r="DJ19" s="72">
        <f t="shared" si="93"/>
        <v>6.709795067732337</v>
      </c>
      <c r="DK19" s="151">
        <f t="shared" si="46"/>
        <v>-5897707.819999999</v>
      </c>
      <c r="DL19" s="72">
        <v>48</v>
      </c>
      <c r="DM19" s="72">
        <v>229</v>
      </c>
      <c r="DN19" s="63">
        <v>0</v>
      </c>
    </row>
    <row r="20" spans="1:118" ht="12.75">
      <c r="A20" s="49" t="s">
        <v>12</v>
      </c>
      <c r="B20" s="44">
        <v>468</v>
      </c>
      <c r="C20" s="36">
        <v>1159358</v>
      </c>
      <c r="D20" s="64">
        <v>2477.26</v>
      </c>
      <c r="E20" s="64">
        <v>71.85</v>
      </c>
      <c r="F20" s="124">
        <v>10</v>
      </c>
      <c r="G20" s="130">
        <v>319063.25</v>
      </c>
      <c r="H20" s="40">
        <v>78046.35</v>
      </c>
      <c r="I20" s="40">
        <v>54000</v>
      </c>
      <c r="J20" s="40">
        <v>0</v>
      </c>
      <c r="K20" s="40">
        <v>71064.85</v>
      </c>
      <c r="L20" s="40">
        <v>0</v>
      </c>
      <c r="M20" s="41">
        <f t="shared" si="0"/>
        <v>71064.85</v>
      </c>
      <c r="N20" s="40">
        <v>0</v>
      </c>
      <c r="O20" s="40">
        <v>109561.15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59"/>
        <v>0</v>
      </c>
      <c r="X20" s="40">
        <v>0</v>
      </c>
      <c r="Y20" s="41">
        <f t="shared" si="60"/>
        <v>631735.6</v>
      </c>
      <c r="Z20" s="40">
        <v>141675.7</v>
      </c>
      <c r="AA20" s="40">
        <v>18866.55</v>
      </c>
      <c r="AB20" s="40">
        <v>0</v>
      </c>
      <c r="AC20" s="40">
        <v>11284.85</v>
      </c>
      <c r="AD20" s="40">
        <v>0</v>
      </c>
      <c r="AE20" s="41">
        <f t="shared" si="61"/>
        <v>171827.1</v>
      </c>
      <c r="AF20" s="40">
        <v>0</v>
      </c>
      <c r="AG20" s="40">
        <v>3103.55</v>
      </c>
      <c r="AH20" s="40">
        <v>0</v>
      </c>
      <c r="AI20" s="40">
        <v>4843.95</v>
      </c>
      <c r="AJ20" s="40">
        <v>274870</v>
      </c>
      <c r="AK20" s="40">
        <v>0</v>
      </c>
      <c r="AL20" s="40">
        <v>153647.9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2"/>
        <v>0</v>
      </c>
      <c r="AT20" s="36">
        <v>0</v>
      </c>
      <c r="AU20" s="4">
        <f t="shared" si="63"/>
        <v>608292.5</v>
      </c>
      <c r="AV20" s="36">
        <v>0</v>
      </c>
      <c r="AW20" s="36">
        <v>23443.1</v>
      </c>
      <c r="AX20" s="4">
        <f t="shared" si="64"/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5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66"/>
        <v>0</v>
      </c>
      <c r="BP20" s="40">
        <v>0</v>
      </c>
      <c r="BQ20" s="40">
        <v>0</v>
      </c>
      <c r="BR20" s="40">
        <v>0</v>
      </c>
      <c r="BS20" s="41">
        <f t="shared" si="67"/>
        <v>0</v>
      </c>
      <c r="BT20" s="36">
        <v>556409</v>
      </c>
      <c r="BU20" s="36">
        <v>1143004.05</v>
      </c>
      <c r="BV20" s="36">
        <v>0</v>
      </c>
      <c r="BW20" s="36">
        <v>252629</v>
      </c>
      <c r="BX20" s="4">
        <f t="shared" si="69"/>
        <v>1952042.05</v>
      </c>
      <c r="BY20" s="36">
        <v>1952042.05</v>
      </c>
      <c r="BZ20" s="36">
        <v>0</v>
      </c>
      <c r="CA20" s="36">
        <v>0</v>
      </c>
      <c r="CB20" s="4">
        <f t="shared" si="70"/>
        <v>1952042.05</v>
      </c>
      <c r="CC20" s="4">
        <f t="shared" si="71"/>
        <v>0</v>
      </c>
      <c r="CD20" s="70">
        <f t="shared" si="72"/>
        <v>47621.75000000001</v>
      </c>
      <c r="CE20" s="72">
        <f t="shared" si="73"/>
        <v>47621.75000000001</v>
      </c>
      <c r="CF20" s="72">
        <f t="shared" si="74"/>
        <v>0</v>
      </c>
      <c r="CG20" s="72">
        <f t="shared" si="35"/>
        <v>608292.5</v>
      </c>
      <c r="CH20" s="72">
        <f t="shared" si="75"/>
        <v>50896.45</v>
      </c>
      <c r="CI20" s="35">
        <f t="shared" si="76"/>
        <v>121961.3</v>
      </c>
      <c r="CJ20" s="57" t="str">
        <f t="shared" si="36"/>
        <v>-</v>
      </c>
      <c r="CK20" s="57" t="str">
        <f t="shared" si="37"/>
        <v>-</v>
      </c>
      <c r="CL20" s="148">
        <f t="shared" si="38"/>
        <v>0.07828758368712421</v>
      </c>
      <c r="CM20" s="148">
        <f t="shared" si="39"/>
        <v>0.07828758368712421</v>
      </c>
      <c r="CN20" s="148">
        <f t="shared" si="40"/>
        <v>0.08367101353378514</v>
      </c>
      <c r="CO20" s="148">
        <f t="shared" si="41"/>
        <v>0.20049778683774666</v>
      </c>
      <c r="CP20" s="148">
        <f t="shared" si="42"/>
        <v>0.05853444561507176</v>
      </c>
      <c r="CQ20" s="148">
        <f t="shared" si="43"/>
        <v>0.05853444561507176</v>
      </c>
      <c r="CR20" s="149">
        <f t="shared" si="44"/>
        <v>-29.306630898696497</v>
      </c>
      <c r="CS20" s="72">
        <f t="shared" si="45"/>
        <v>-1395633.05</v>
      </c>
      <c r="CT20" s="76">
        <f t="shared" si="77"/>
        <v>560670.75</v>
      </c>
      <c r="CU20" s="76">
        <f t="shared" si="78"/>
        <v>608292.5</v>
      </c>
      <c r="CV20" s="76">
        <f t="shared" si="79"/>
        <v>47621.75</v>
      </c>
      <c r="CW20" s="76">
        <f t="shared" si="80"/>
        <v>0</v>
      </c>
      <c r="CX20" s="76">
        <f t="shared" si="81"/>
        <v>47621.75</v>
      </c>
      <c r="CY20" s="76">
        <f t="shared" si="82"/>
        <v>-23443.100000000006</v>
      </c>
      <c r="CZ20" s="76">
        <f t="shared" si="83"/>
        <v>0</v>
      </c>
      <c r="DA20" s="76">
        <f t="shared" si="84"/>
        <v>71064.85</v>
      </c>
      <c r="DB20" s="76">
        <f t="shared" si="85"/>
        <v>47621.75</v>
      </c>
      <c r="DC20" s="76">
        <f t="shared" si="86"/>
        <v>-71064.85</v>
      </c>
      <c r="DD20" s="76">
        <f t="shared" si="87"/>
        <v>-23443.100000000006</v>
      </c>
      <c r="DE20" s="76">
        <f t="shared" si="88"/>
        <v>160542.25</v>
      </c>
      <c r="DF20" s="76">
        <f t="shared" si="89"/>
        <v>-2982.1219017094018</v>
      </c>
      <c r="DG20" s="76">
        <f t="shared" si="90"/>
        <v>108.75309829059829</v>
      </c>
      <c r="DH20" s="76">
        <f t="shared" si="91"/>
        <v>343.0389957264957</v>
      </c>
      <c r="DI20" s="77">
        <f t="shared" si="92"/>
        <v>0</v>
      </c>
      <c r="DJ20" s="72">
        <f t="shared" si="93"/>
        <v>101.75587606837607</v>
      </c>
      <c r="DK20" s="151">
        <f t="shared" si="46"/>
        <v>-1395633.05</v>
      </c>
      <c r="DL20" s="136">
        <v>14</v>
      </c>
      <c r="DM20" s="136">
        <v>46</v>
      </c>
      <c r="DN20" s="65">
        <v>0</v>
      </c>
    </row>
    <row r="21" spans="1:118" ht="12.75">
      <c r="A21" s="50" t="s">
        <v>219</v>
      </c>
      <c r="B21" s="39">
        <v>3948</v>
      </c>
      <c r="C21" s="4">
        <v>18979780</v>
      </c>
      <c r="D21" s="66">
        <v>4807.44</v>
      </c>
      <c r="E21" s="66">
        <v>139.42</v>
      </c>
      <c r="F21" s="8">
        <v>12</v>
      </c>
      <c r="G21" s="129">
        <f>SUM(G40:G41)</f>
        <v>4377204</v>
      </c>
      <c r="H21" s="129">
        <f aca="true" t="shared" si="96" ref="H21:BU21">SUM(H40:H41)</f>
        <v>768093.3</v>
      </c>
      <c r="I21" s="129">
        <f t="shared" si="96"/>
        <v>153919.7</v>
      </c>
      <c r="J21" s="129">
        <f t="shared" si="96"/>
        <v>0</v>
      </c>
      <c r="K21" s="129">
        <f t="shared" si="96"/>
        <v>255535</v>
      </c>
      <c r="L21" s="129">
        <f t="shared" si="96"/>
        <v>560180</v>
      </c>
      <c r="M21" s="41">
        <f t="shared" si="0"/>
        <v>815715</v>
      </c>
      <c r="N21" s="129">
        <f>SUM(N40:N41)</f>
        <v>0</v>
      </c>
      <c r="O21" s="129">
        <f t="shared" si="96"/>
        <v>351520.5</v>
      </c>
      <c r="P21" s="129">
        <f t="shared" si="96"/>
        <v>1271.3</v>
      </c>
      <c r="Q21" s="129">
        <f t="shared" si="96"/>
        <v>3000</v>
      </c>
      <c r="R21" s="129">
        <f t="shared" si="96"/>
        <v>0</v>
      </c>
      <c r="S21" s="129">
        <f t="shared" si="96"/>
        <v>0</v>
      </c>
      <c r="T21" s="129">
        <f t="shared" si="96"/>
        <v>0</v>
      </c>
      <c r="U21" s="129">
        <f t="shared" si="96"/>
        <v>0</v>
      </c>
      <c r="V21" s="129">
        <f t="shared" si="96"/>
        <v>0</v>
      </c>
      <c r="W21" s="41">
        <f t="shared" si="59"/>
        <v>0</v>
      </c>
      <c r="X21" s="129">
        <f t="shared" si="96"/>
        <v>1311748</v>
      </c>
      <c r="Y21" s="41">
        <f t="shared" si="60"/>
        <v>7782471.800000001</v>
      </c>
      <c r="Z21" s="129">
        <f t="shared" si="96"/>
        <v>1765436.4</v>
      </c>
      <c r="AA21" s="129">
        <f t="shared" si="96"/>
        <v>1159419</v>
      </c>
      <c r="AB21" s="129">
        <f t="shared" si="96"/>
        <v>29512</v>
      </c>
      <c r="AC21" s="129">
        <f t="shared" si="96"/>
        <v>151041</v>
      </c>
      <c r="AD21" s="129">
        <f t="shared" si="96"/>
        <v>0</v>
      </c>
      <c r="AE21" s="41">
        <f t="shared" si="61"/>
        <v>3105408.4</v>
      </c>
      <c r="AF21" s="129">
        <f t="shared" si="96"/>
        <v>0</v>
      </c>
      <c r="AG21" s="129">
        <f t="shared" si="96"/>
        <v>1921.5</v>
      </c>
      <c r="AH21" s="129">
        <f t="shared" si="96"/>
        <v>0</v>
      </c>
      <c r="AI21" s="129">
        <f t="shared" si="96"/>
        <v>47996</v>
      </c>
      <c r="AJ21" s="129">
        <f t="shared" si="96"/>
        <v>1886959</v>
      </c>
      <c r="AK21" s="129">
        <f t="shared" si="96"/>
        <v>386581.5</v>
      </c>
      <c r="AL21" s="129">
        <f t="shared" si="96"/>
        <v>1980181.75</v>
      </c>
      <c r="AM21" s="129">
        <f t="shared" si="96"/>
        <v>61.75</v>
      </c>
      <c r="AN21" s="129">
        <f t="shared" si="96"/>
        <v>0</v>
      </c>
      <c r="AO21" s="129">
        <f t="shared" si="96"/>
        <v>0</v>
      </c>
      <c r="AP21" s="129">
        <f t="shared" si="96"/>
        <v>0</v>
      </c>
      <c r="AQ21" s="129">
        <f t="shared" si="96"/>
        <v>0</v>
      </c>
      <c r="AR21" s="129">
        <f t="shared" si="96"/>
        <v>0</v>
      </c>
      <c r="AS21" s="4">
        <f t="shared" si="62"/>
        <v>0</v>
      </c>
      <c r="AT21" s="129">
        <f t="shared" si="96"/>
        <v>1311748</v>
      </c>
      <c r="AU21" s="4">
        <f t="shared" si="63"/>
        <v>8720857.9</v>
      </c>
      <c r="AV21" s="129">
        <f t="shared" si="96"/>
        <v>992166</v>
      </c>
      <c r="AW21" s="129">
        <f t="shared" si="96"/>
        <v>53779.9</v>
      </c>
      <c r="AX21" s="4">
        <f t="shared" si="64"/>
        <v>3.710738383233547E-10</v>
      </c>
      <c r="AY21" s="129">
        <f t="shared" si="96"/>
        <v>0</v>
      </c>
      <c r="AZ21" s="129">
        <f t="shared" si="96"/>
        <v>111691.4</v>
      </c>
      <c r="BA21" s="129">
        <f t="shared" si="96"/>
        <v>0</v>
      </c>
      <c r="BB21" s="129">
        <f t="shared" si="96"/>
        <v>0</v>
      </c>
      <c r="BC21" s="129">
        <f t="shared" si="96"/>
        <v>0</v>
      </c>
      <c r="BD21" s="129">
        <f t="shared" si="96"/>
        <v>2479</v>
      </c>
      <c r="BE21" s="129">
        <f t="shared" si="96"/>
        <v>0</v>
      </c>
      <c r="BF21" s="41">
        <f t="shared" si="65"/>
        <v>114170.4</v>
      </c>
      <c r="BG21" s="129">
        <f t="shared" si="96"/>
        <v>46495.4</v>
      </c>
      <c r="BH21" s="129">
        <f t="shared" si="96"/>
        <v>0</v>
      </c>
      <c r="BI21" s="129">
        <f t="shared" si="96"/>
        <v>3835</v>
      </c>
      <c r="BJ21" s="129">
        <f t="shared" si="96"/>
        <v>0</v>
      </c>
      <c r="BK21" s="129">
        <f t="shared" si="96"/>
        <v>3000</v>
      </c>
      <c r="BL21" s="129">
        <f t="shared" si="96"/>
        <v>0</v>
      </c>
      <c r="BM21" s="129">
        <f t="shared" si="96"/>
        <v>960</v>
      </c>
      <c r="BN21" s="129">
        <f t="shared" si="96"/>
        <v>0</v>
      </c>
      <c r="BO21" s="41">
        <f t="shared" si="66"/>
        <v>54290.4</v>
      </c>
      <c r="BP21" s="129">
        <f t="shared" si="96"/>
        <v>54290.4</v>
      </c>
      <c r="BQ21" s="129">
        <f t="shared" si="96"/>
        <v>0</v>
      </c>
      <c r="BR21" s="129">
        <f t="shared" si="96"/>
        <v>114170.4</v>
      </c>
      <c r="BS21" s="41">
        <f t="shared" si="67"/>
        <v>0</v>
      </c>
      <c r="BT21" s="129">
        <f t="shared" si="96"/>
        <v>4843839.5</v>
      </c>
      <c r="BU21" s="129">
        <f t="shared" si="96"/>
        <v>1859996.7</v>
      </c>
      <c r="BV21" s="129">
        <f aca="true" t="shared" si="97" ref="BV21:CA21">SUM(BV40:BV41)</f>
        <v>0</v>
      </c>
      <c r="BW21" s="129">
        <f t="shared" si="97"/>
        <v>53779.9</v>
      </c>
      <c r="BX21" s="4">
        <f t="shared" si="69"/>
        <v>6757616.100000001</v>
      </c>
      <c r="BY21" s="129">
        <f t="shared" si="97"/>
        <v>6731603.85</v>
      </c>
      <c r="BZ21" s="129">
        <f t="shared" si="97"/>
        <v>0</v>
      </c>
      <c r="CA21" s="129">
        <f t="shared" si="97"/>
        <v>26012.25</v>
      </c>
      <c r="CB21" s="4">
        <f t="shared" si="70"/>
        <v>6757616.1</v>
      </c>
      <c r="CC21" s="4">
        <f t="shared" si="71"/>
        <v>0</v>
      </c>
      <c r="CD21" s="70">
        <f t="shared" si="72"/>
        <v>1754101.1</v>
      </c>
      <c r="CE21" s="72">
        <f t="shared" si="73"/>
        <v>1754101.1</v>
      </c>
      <c r="CF21" s="72">
        <f t="shared" si="74"/>
        <v>59879.99999999999</v>
      </c>
      <c r="CG21" s="72">
        <f t="shared" si="35"/>
        <v>7409048.15</v>
      </c>
      <c r="CH21" s="72">
        <f t="shared" si="75"/>
        <v>151998.2</v>
      </c>
      <c r="CI21" s="35">
        <f t="shared" si="76"/>
        <v>407533.2</v>
      </c>
      <c r="CJ21" s="57">
        <f t="shared" si="36"/>
        <v>29.29360554442218</v>
      </c>
      <c r="CK21" s="57">
        <f t="shared" si="37"/>
        <v>29.29360554442218</v>
      </c>
      <c r="CL21" s="148">
        <f t="shared" si="38"/>
        <v>0.23675120804822952</v>
      </c>
      <c r="CM21" s="148">
        <f t="shared" si="39"/>
        <v>0.23675120804822952</v>
      </c>
      <c r="CN21" s="148">
        <f t="shared" si="40"/>
        <v>0.020515212875219336</v>
      </c>
      <c r="CO21" s="148">
        <f t="shared" si="41"/>
        <v>0.05500479842339802</v>
      </c>
      <c r="CP21" s="148">
        <f t="shared" si="42"/>
        <v>0.3048590773064228</v>
      </c>
      <c r="CQ21" s="148">
        <f t="shared" si="43"/>
        <v>0.09550169399789969</v>
      </c>
      <c r="CR21" s="149">
        <f t="shared" si="44"/>
        <v>-1.076200425391672</v>
      </c>
      <c r="CS21" s="72">
        <f t="shared" si="45"/>
        <v>-1887764.3499999996</v>
      </c>
      <c r="CT21" s="76">
        <f t="shared" si="77"/>
        <v>6966756.800000001</v>
      </c>
      <c r="CU21" s="76">
        <f t="shared" si="78"/>
        <v>8720857.9</v>
      </c>
      <c r="CV21" s="76">
        <f t="shared" si="79"/>
        <v>1754101.0999999996</v>
      </c>
      <c r="CW21" s="76">
        <f t="shared" si="80"/>
        <v>0</v>
      </c>
      <c r="CX21" s="76">
        <f t="shared" si="81"/>
        <v>1754101.0999999996</v>
      </c>
      <c r="CY21" s="76">
        <f t="shared" si="82"/>
        <v>938386.0999999996</v>
      </c>
      <c r="CZ21" s="76">
        <f t="shared" si="83"/>
        <v>59879.99999999999</v>
      </c>
      <c r="DA21" s="76">
        <f t="shared" si="84"/>
        <v>815715</v>
      </c>
      <c r="DB21" s="76">
        <f t="shared" si="85"/>
        <v>1694221.0999999996</v>
      </c>
      <c r="DC21" s="76">
        <f t="shared" si="86"/>
        <v>-870005.4</v>
      </c>
      <c r="DD21" s="76">
        <f t="shared" si="87"/>
        <v>938386.0999999996</v>
      </c>
      <c r="DE21" s="76">
        <f t="shared" si="88"/>
        <v>2954367.4</v>
      </c>
      <c r="DF21" s="76">
        <f t="shared" si="89"/>
        <v>-478.15713019250245</v>
      </c>
      <c r="DG21" s="76">
        <f t="shared" si="90"/>
        <v>38.5000506585613</v>
      </c>
      <c r="DH21" s="76">
        <f t="shared" si="91"/>
        <v>748.3200101317123</v>
      </c>
      <c r="DI21" s="77">
        <f t="shared" si="92"/>
        <v>15.167173252279634</v>
      </c>
      <c r="DJ21" s="72">
        <f t="shared" si="93"/>
        <v>429.13401722391075</v>
      </c>
      <c r="DK21" s="151">
        <f t="shared" si="46"/>
        <v>-1887764.3499999999</v>
      </c>
      <c r="DL21" s="72">
        <f>DL40+DL41</f>
        <v>101</v>
      </c>
      <c r="DM21" s="72">
        <f>DM40+DM41</f>
        <v>503</v>
      </c>
      <c r="DN21" s="63">
        <v>0</v>
      </c>
    </row>
    <row r="22" spans="1:118" ht="12.75">
      <c r="A22" s="49" t="s">
        <v>14</v>
      </c>
      <c r="B22" s="44">
        <v>2766</v>
      </c>
      <c r="C22" s="36">
        <v>9526953</v>
      </c>
      <c r="D22" s="64">
        <v>3444.31</v>
      </c>
      <c r="E22" s="64">
        <v>99.89</v>
      </c>
      <c r="F22" s="124">
        <v>13</v>
      </c>
      <c r="G22" s="130">
        <v>2496006.05</v>
      </c>
      <c r="H22" s="40">
        <v>346621.55</v>
      </c>
      <c r="I22" s="40">
        <v>217286.8</v>
      </c>
      <c r="J22" s="40">
        <v>0</v>
      </c>
      <c r="K22" s="40">
        <v>319505.25</v>
      </c>
      <c r="L22" s="40">
        <v>0</v>
      </c>
      <c r="M22" s="41">
        <f t="shared" si="0"/>
        <v>319505.25</v>
      </c>
      <c r="N22" s="40">
        <v>0</v>
      </c>
      <c r="O22" s="40">
        <v>534051.15</v>
      </c>
      <c r="P22" s="40">
        <v>31187.5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59"/>
        <v>0</v>
      </c>
      <c r="X22" s="40">
        <v>0</v>
      </c>
      <c r="Y22" s="41">
        <f t="shared" si="60"/>
        <v>3944658.3</v>
      </c>
      <c r="Z22" s="40">
        <v>1470515</v>
      </c>
      <c r="AA22" s="40">
        <v>171539.5</v>
      </c>
      <c r="AB22" s="40">
        <v>0</v>
      </c>
      <c r="AC22" s="40">
        <v>76340.9</v>
      </c>
      <c r="AD22" s="40">
        <v>0</v>
      </c>
      <c r="AE22" s="41">
        <f t="shared" si="61"/>
        <v>1718395.4</v>
      </c>
      <c r="AF22" s="40">
        <v>0</v>
      </c>
      <c r="AG22" s="40">
        <v>15964.8</v>
      </c>
      <c r="AH22" s="40">
        <v>0</v>
      </c>
      <c r="AI22" s="40">
        <v>48615.9</v>
      </c>
      <c r="AJ22" s="40">
        <v>1047880</v>
      </c>
      <c r="AK22" s="40">
        <v>200000</v>
      </c>
      <c r="AL22" s="40">
        <v>1087442.9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2"/>
        <v>0</v>
      </c>
      <c r="AT22" s="36">
        <v>0</v>
      </c>
      <c r="AU22" s="4">
        <f t="shared" si="63"/>
        <v>4118299.0000000005</v>
      </c>
      <c r="AV22" s="36">
        <v>173640.7</v>
      </c>
      <c r="AW22" s="36">
        <v>0</v>
      </c>
      <c r="AX22" s="4">
        <f t="shared" si="64"/>
        <v>-6.402842700481415E-10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5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66"/>
        <v>0</v>
      </c>
      <c r="BP22" s="40">
        <v>0</v>
      </c>
      <c r="BQ22" s="40">
        <v>0</v>
      </c>
      <c r="BR22" s="40">
        <v>0</v>
      </c>
      <c r="BS22" s="41">
        <f t="shared" si="67"/>
        <v>0</v>
      </c>
      <c r="BT22" s="36">
        <v>2225311.25</v>
      </c>
      <c r="BU22" s="36">
        <v>4126250.4</v>
      </c>
      <c r="BV22" s="36">
        <v>0</v>
      </c>
      <c r="BW22" s="36">
        <v>0</v>
      </c>
      <c r="BX22" s="4">
        <f t="shared" si="69"/>
        <v>6351561.65</v>
      </c>
      <c r="BY22" s="36">
        <v>6323082.65</v>
      </c>
      <c r="BZ22" s="36">
        <v>0</v>
      </c>
      <c r="CA22" s="36">
        <f>927195.53-898716.53</f>
        <v>28479</v>
      </c>
      <c r="CB22" s="4">
        <f t="shared" si="70"/>
        <v>6351561.65</v>
      </c>
      <c r="CC22" s="4">
        <f t="shared" si="71"/>
        <v>0</v>
      </c>
      <c r="CD22" s="70">
        <f t="shared" si="72"/>
        <v>493145.95</v>
      </c>
      <c r="CE22" s="72">
        <f t="shared" si="73"/>
        <v>493145.95</v>
      </c>
      <c r="CF22" s="72">
        <f t="shared" si="74"/>
        <v>0</v>
      </c>
      <c r="CG22" s="72">
        <f t="shared" si="35"/>
        <v>4118299.0000000005</v>
      </c>
      <c r="CH22" s="72">
        <f t="shared" si="75"/>
        <v>201322</v>
      </c>
      <c r="CI22" s="35">
        <f t="shared" si="76"/>
        <v>520827.25</v>
      </c>
      <c r="CJ22" s="57" t="str">
        <f t="shared" si="36"/>
        <v>-</v>
      </c>
      <c r="CK22" s="57" t="str">
        <f t="shared" si="37"/>
        <v>-</v>
      </c>
      <c r="CL22" s="148">
        <f t="shared" si="38"/>
        <v>0.11974505736470323</v>
      </c>
      <c r="CM22" s="148">
        <f t="shared" si="39"/>
        <v>0.11974505736470323</v>
      </c>
      <c r="CN22" s="148">
        <f t="shared" si="40"/>
        <v>0.04888474586230868</v>
      </c>
      <c r="CO22" s="148">
        <f t="shared" si="41"/>
        <v>0.12646659458188925</v>
      </c>
      <c r="CP22" s="148">
        <f t="shared" si="42"/>
        <v>0.07186747881656519</v>
      </c>
      <c r="CQ22" s="148">
        <f t="shared" si="43"/>
        <v>0.07186747881656519</v>
      </c>
      <c r="CR22" s="149">
        <f t="shared" si="44"/>
        <v>-8.309449565590066</v>
      </c>
      <c r="CS22" s="72">
        <f t="shared" si="45"/>
        <v>-4097771.4000000004</v>
      </c>
      <c r="CT22" s="76">
        <f t="shared" si="77"/>
        <v>3625153.05</v>
      </c>
      <c r="CU22" s="76">
        <f t="shared" si="78"/>
        <v>4118299.0000000005</v>
      </c>
      <c r="CV22" s="76">
        <f t="shared" si="79"/>
        <v>493145.95000000065</v>
      </c>
      <c r="CW22" s="76">
        <f t="shared" si="80"/>
        <v>0</v>
      </c>
      <c r="CX22" s="76">
        <f t="shared" si="81"/>
        <v>493145.95000000065</v>
      </c>
      <c r="CY22" s="76">
        <f t="shared" si="82"/>
        <v>173640.70000000065</v>
      </c>
      <c r="CZ22" s="76">
        <f t="shared" si="83"/>
        <v>0</v>
      </c>
      <c r="DA22" s="76">
        <f t="shared" si="84"/>
        <v>319505.25</v>
      </c>
      <c r="DB22" s="76">
        <f t="shared" si="85"/>
        <v>493145.95000000065</v>
      </c>
      <c r="DC22" s="76">
        <f t="shared" si="86"/>
        <v>-319505.25</v>
      </c>
      <c r="DD22" s="76">
        <f t="shared" si="87"/>
        <v>173640.70000000065</v>
      </c>
      <c r="DE22" s="76">
        <f t="shared" si="88"/>
        <v>1642054.5</v>
      </c>
      <c r="DF22" s="76">
        <f t="shared" si="89"/>
        <v>-1481.4791757049893</v>
      </c>
      <c r="DG22" s="76">
        <f t="shared" si="90"/>
        <v>72.78452639190166</v>
      </c>
      <c r="DH22" s="76">
        <f t="shared" si="91"/>
        <v>593.6567245119306</v>
      </c>
      <c r="DI22" s="77">
        <f t="shared" si="92"/>
        <v>0</v>
      </c>
      <c r="DJ22" s="72">
        <f t="shared" si="93"/>
        <v>178.28848517715136</v>
      </c>
      <c r="DK22" s="151">
        <f t="shared" si="46"/>
        <v>-4097771.4</v>
      </c>
      <c r="DL22" s="136">
        <v>61</v>
      </c>
      <c r="DM22" s="136">
        <v>271</v>
      </c>
      <c r="DN22" s="65">
        <v>0</v>
      </c>
    </row>
    <row r="23" spans="1:118" ht="12.75">
      <c r="A23" s="50" t="s">
        <v>15</v>
      </c>
      <c r="B23" s="39">
        <v>253</v>
      </c>
      <c r="C23" s="4">
        <v>669276</v>
      </c>
      <c r="D23" s="66">
        <v>2645.36</v>
      </c>
      <c r="E23" s="66">
        <v>76.72</v>
      </c>
      <c r="F23" s="8">
        <v>11</v>
      </c>
      <c r="G23" s="135">
        <f>(G43/($B$12+$B$14+$B$23)*$B$23)</f>
        <v>0</v>
      </c>
      <c r="H23" s="135">
        <f aca="true" t="shared" si="98" ref="H23:BU23">(H43/($B$12+$B$14+$B$23)*$B$23)</f>
        <v>0</v>
      </c>
      <c r="I23" s="135">
        <f t="shared" si="98"/>
        <v>0</v>
      </c>
      <c r="J23" s="135">
        <f t="shared" si="98"/>
        <v>0</v>
      </c>
      <c r="K23" s="135">
        <f t="shared" si="98"/>
        <v>0</v>
      </c>
      <c r="L23" s="135">
        <f t="shared" si="98"/>
        <v>0</v>
      </c>
      <c r="M23" s="41">
        <f t="shared" si="0"/>
        <v>0</v>
      </c>
      <c r="N23" s="135">
        <f t="shared" si="98"/>
        <v>0</v>
      </c>
      <c r="O23" s="135">
        <f t="shared" si="98"/>
        <v>0</v>
      </c>
      <c r="P23" s="135">
        <f t="shared" si="98"/>
        <v>0</v>
      </c>
      <c r="Q23" s="135">
        <f t="shared" si="98"/>
        <v>0</v>
      </c>
      <c r="R23" s="135">
        <f t="shared" si="98"/>
        <v>0</v>
      </c>
      <c r="S23" s="135">
        <f t="shared" si="98"/>
        <v>0</v>
      </c>
      <c r="T23" s="135">
        <f t="shared" si="98"/>
        <v>0</v>
      </c>
      <c r="U23" s="135">
        <f t="shared" si="98"/>
        <v>0</v>
      </c>
      <c r="V23" s="135">
        <f t="shared" si="98"/>
        <v>0</v>
      </c>
      <c r="W23" s="41">
        <f t="shared" si="59"/>
        <v>0</v>
      </c>
      <c r="X23" s="135">
        <f t="shared" si="98"/>
        <v>0</v>
      </c>
      <c r="Y23" s="41">
        <f>SUM(G23:X23)-M23-W23</f>
        <v>0</v>
      </c>
      <c r="Z23" s="135">
        <f t="shared" si="98"/>
        <v>0</v>
      </c>
      <c r="AA23" s="135">
        <f t="shared" si="98"/>
        <v>0</v>
      </c>
      <c r="AB23" s="135">
        <f t="shared" si="98"/>
        <v>0</v>
      </c>
      <c r="AC23" s="135">
        <f t="shared" si="98"/>
        <v>0</v>
      </c>
      <c r="AD23" s="135">
        <f t="shared" si="98"/>
        <v>0</v>
      </c>
      <c r="AE23" s="41">
        <f t="shared" si="61"/>
        <v>0</v>
      </c>
      <c r="AF23" s="135">
        <f t="shared" si="98"/>
        <v>0</v>
      </c>
      <c r="AG23" s="135">
        <f t="shared" si="98"/>
        <v>0</v>
      </c>
      <c r="AH23" s="135">
        <f t="shared" si="98"/>
        <v>0</v>
      </c>
      <c r="AI23" s="135">
        <f t="shared" si="98"/>
        <v>0</v>
      </c>
      <c r="AJ23" s="135">
        <f t="shared" si="98"/>
        <v>0</v>
      </c>
      <c r="AK23" s="135">
        <f t="shared" si="98"/>
        <v>0</v>
      </c>
      <c r="AL23" s="135">
        <f t="shared" si="98"/>
        <v>0</v>
      </c>
      <c r="AM23" s="135">
        <f t="shared" si="98"/>
        <v>0</v>
      </c>
      <c r="AN23" s="135">
        <f t="shared" si="98"/>
        <v>0</v>
      </c>
      <c r="AO23" s="135">
        <f t="shared" si="98"/>
        <v>0</v>
      </c>
      <c r="AP23" s="135">
        <f t="shared" si="98"/>
        <v>0</v>
      </c>
      <c r="AQ23" s="135">
        <f t="shared" si="98"/>
        <v>0</v>
      </c>
      <c r="AR23" s="135">
        <f t="shared" si="98"/>
        <v>0</v>
      </c>
      <c r="AS23" s="4">
        <f t="shared" si="62"/>
        <v>0</v>
      </c>
      <c r="AT23" s="135">
        <f t="shared" si="98"/>
        <v>0</v>
      </c>
      <c r="AU23" s="4">
        <f t="shared" si="63"/>
        <v>0</v>
      </c>
      <c r="AV23" s="135">
        <f t="shared" si="98"/>
        <v>0</v>
      </c>
      <c r="AW23" s="135">
        <f t="shared" si="98"/>
        <v>0</v>
      </c>
      <c r="AX23" s="4">
        <f t="shared" si="64"/>
        <v>0</v>
      </c>
      <c r="AY23" s="135">
        <f t="shared" si="98"/>
        <v>0</v>
      </c>
      <c r="AZ23" s="135">
        <f t="shared" si="98"/>
        <v>0</v>
      </c>
      <c r="BA23" s="135">
        <f t="shared" si="98"/>
        <v>0</v>
      </c>
      <c r="BB23" s="135">
        <f t="shared" si="98"/>
        <v>0</v>
      </c>
      <c r="BC23" s="135">
        <f t="shared" si="98"/>
        <v>0</v>
      </c>
      <c r="BD23" s="135">
        <f t="shared" si="98"/>
        <v>0</v>
      </c>
      <c r="BE23" s="135">
        <f t="shared" si="98"/>
        <v>0</v>
      </c>
      <c r="BF23" s="41">
        <f t="shared" si="65"/>
        <v>0</v>
      </c>
      <c r="BG23" s="135">
        <f t="shared" si="98"/>
        <v>0</v>
      </c>
      <c r="BH23" s="135">
        <f t="shared" si="98"/>
        <v>0</v>
      </c>
      <c r="BI23" s="135">
        <f t="shared" si="98"/>
        <v>0</v>
      </c>
      <c r="BJ23" s="135">
        <f t="shared" si="98"/>
        <v>0</v>
      </c>
      <c r="BK23" s="135">
        <f t="shared" si="98"/>
        <v>0</v>
      </c>
      <c r="BL23" s="135">
        <f t="shared" si="98"/>
        <v>0</v>
      </c>
      <c r="BM23" s="135">
        <f t="shared" si="98"/>
        <v>0</v>
      </c>
      <c r="BN23" s="135">
        <f t="shared" si="98"/>
        <v>0</v>
      </c>
      <c r="BO23" s="41">
        <f t="shared" si="66"/>
        <v>0</v>
      </c>
      <c r="BP23" s="135">
        <f t="shared" si="98"/>
        <v>0</v>
      </c>
      <c r="BQ23" s="135">
        <f t="shared" si="98"/>
        <v>0</v>
      </c>
      <c r="BR23" s="135">
        <f t="shared" si="98"/>
        <v>0</v>
      </c>
      <c r="BS23" s="41">
        <f t="shared" si="67"/>
        <v>0</v>
      </c>
      <c r="BT23" s="135">
        <f t="shared" si="98"/>
        <v>0</v>
      </c>
      <c r="BU23" s="135">
        <f t="shared" si="98"/>
        <v>0</v>
      </c>
      <c r="BV23" s="135">
        <f aca="true" t="shared" si="99" ref="BV23:CA23">(BV43/($B$12+$B$14+$B$23)*$B$23)</f>
        <v>0</v>
      </c>
      <c r="BW23" s="135">
        <f t="shared" si="99"/>
        <v>0</v>
      </c>
      <c r="BX23" s="4">
        <f t="shared" si="69"/>
        <v>0</v>
      </c>
      <c r="BY23" s="135">
        <f t="shared" si="99"/>
        <v>0</v>
      </c>
      <c r="BZ23" s="135">
        <f t="shared" si="99"/>
        <v>0</v>
      </c>
      <c r="CA23" s="135">
        <f t="shared" si="99"/>
        <v>0</v>
      </c>
      <c r="CB23" s="4">
        <f t="shared" si="70"/>
        <v>0</v>
      </c>
      <c r="CC23" s="4">
        <f t="shared" si="71"/>
        <v>0</v>
      </c>
      <c r="CD23" s="70">
        <f t="shared" si="72"/>
        <v>0</v>
      </c>
      <c r="CE23" s="72">
        <f t="shared" si="73"/>
        <v>0</v>
      </c>
      <c r="CF23" s="72">
        <f t="shared" si="74"/>
        <v>0</v>
      </c>
      <c r="CG23" s="72">
        <f t="shared" si="35"/>
        <v>0</v>
      </c>
      <c r="CH23" s="72">
        <f t="shared" si="75"/>
        <v>0</v>
      </c>
      <c r="CI23" s="35">
        <f t="shared" si="76"/>
        <v>0</v>
      </c>
      <c r="CJ23" s="57" t="str">
        <f t="shared" si="36"/>
        <v>-</v>
      </c>
      <c r="CK23" s="57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72">
        <f t="shared" si="45"/>
        <v>0</v>
      </c>
      <c r="CT23" s="76">
        <f t="shared" si="77"/>
        <v>0</v>
      </c>
      <c r="CU23" s="76">
        <f t="shared" si="78"/>
        <v>0</v>
      </c>
      <c r="CV23" s="76">
        <f t="shared" si="79"/>
        <v>0</v>
      </c>
      <c r="CW23" s="76">
        <f t="shared" si="80"/>
        <v>0</v>
      </c>
      <c r="CX23" s="76">
        <f t="shared" si="81"/>
        <v>0</v>
      </c>
      <c r="CY23" s="76">
        <f t="shared" si="82"/>
        <v>0</v>
      </c>
      <c r="CZ23" s="76">
        <f t="shared" si="83"/>
        <v>0</v>
      </c>
      <c r="DA23" s="76">
        <f t="shared" si="84"/>
        <v>0</v>
      </c>
      <c r="DB23" s="76">
        <f t="shared" si="85"/>
        <v>0</v>
      </c>
      <c r="DC23" s="76">
        <f t="shared" si="86"/>
        <v>0</v>
      </c>
      <c r="DD23" s="76">
        <f t="shared" si="87"/>
        <v>0</v>
      </c>
      <c r="DE23" s="76">
        <f t="shared" si="88"/>
        <v>0</v>
      </c>
      <c r="DF23" s="76">
        <f t="shared" si="89"/>
        <v>0</v>
      </c>
      <c r="DG23" s="76">
        <f t="shared" si="90"/>
        <v>0</v>
      </c>
      <c r="DH23" s="76">
        <f t="shared" si="91"/>
        <v>0</v>
      </c>
      <c r="DI23" s="77">
        <f t="shared" si="92"/>
        <v>0</v>
      </c>
      <c r="DJ23" s="72">
        <f t="shared" si="93"/>
        <v>0</v>
      </c>
      <c r="DK23" s="151">
        <f t="shared" si="46"/>
        <v>0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4">
        <v>3658</v>
      </c>
      <c r="C24" s="36">
        <v>11109767</v>
      </c>
      <c r="D24" s="64">
        <v>3037.11</v>
      </c>
      <c r="E24" s="64">
        <v>88.08</v>
      </c>
      <c r="F24" s="124">
        <v>12</v>
      </c>
      <c r="G24" s="130">
        <v>4764814.5</v>
      </c>
      <c r="H24" s="40">
        <v>974770.82</v>
      </c>
      <c r="I24" s="40">
        <v>321873.5</v>
      </c>
      <c r="J24" s="40">
        <v>0</v>
      </c>
      <c r="K24" s="40">
        <v>440000</v>
      </c>
      <c r="L24" s="40">
        <v>0</v>
      </c>
      <c r="M24" s="41">
        <f t="shared" si="0"/>
        <v>440000</v>
      </c>
      <c r="N24" s="40">
        <v>0</v>
      </c>
      <c r="O24" s="40">
        <v>326451.8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59"/>
        <v>0</v>
      </c>
      <c r="X24" s="40">
        <v>1557375.7</v>
      </c>
      <c r="Y24" s="41">
        <f t="shared" si="60"/>
        <v>8385286.32</v>
      </c>
      <c r="Z24" s="40">
        <v>1568571.45</v>
      </c>
      <c r="AA24" s="40">
        <v>190124.2</v>
      </c>
      <c r="AB24" s="40">
        <v>0</v>
      </c>
      <c r="AC24" s="40">
        <v>107056.25</v>
      </c>
      <c r="AD24" s="40">
        <v>0</v>
      </c>
      <c r="AE24" s="41">
        <f t="shared" si="61"/>
        <v>1865751.9</v>
      </c>
      <c r="AF24" s="40">
        <v>0</v>
      </c>
      <c r="AG24" s="40">
        <v>17658.35</v>
      </c>
      <c r="AH24" s="40">
        <v>0</v>
      </c>
      <c r="AI24" s="40">
        <v>68963.75</v>
      </c>
      <c r="AJ24" s="40">
        <v>2076427</v>
      </c>
      <c r="AK24" s="40">
        <v>482133.45</v>
      </c>
      <c r="AL24" s="40">
        <v>2318294.15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30000</v>
      </c>
      <c r="AS24" s="4">
        <f t="shared" si="62"/>
        <v>30000</v>
      </c>
      <c r="AT24" s="36">
        <v>1557375.7</v>
      </c>
      <c r="AU24" s="4">
        <f t="shared" si="63"/>
        <v>8416604.299999999</v>
      </c>
      <c r="AV24" s="36">
        <v>31317.98</v>
      </c>
      <c r="AW24" s="36">
        <v>0</v>
      </c>
      <c r="AX24" s="4">
        <f t="shared" si="64"/>
        <v>1.4151737559586763E-09</v>
      </c>
      <c r="AY24" s="40">
        <v>31247.45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5"/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1">
        <f t="shared" si="66"/>
        <v>0</v>
      </c>
      <c r="BP24" s="40">
        <v>0</v>
      </c>
      <c r="BQ24" s="40">
        <v>0</v>
      </c>
      <c r="BR24" s="40">
        <v>0</v>
      </c>
      <c r="BS24" s="41">
        <f t="shared" si="67"/>
        <v>0</v>
      </c>
      <c r="BT24" s="36">
        <v>3621882.75</v>
      </c>
      <c r="BU24" s="36">
        <v>5615001</v>
      </c>
      <c r="BV24" s="36">
        <v>0</v>
      </c>
      <c r="BW24" s="36">
        <v>0</v>
      </c>
      <c r="BX24" s="4">
        <f t="shared" si="69"/>
        <v>9236883.75</v>
      </c>
      <c r="BY24" s="36">
        <v>8178074</v>
      </c>
      <c r="BZ24" s="36">
        <v>222000</v>
      </c>
      <c r="CA24" s="36">
        <v>836809.75</v>
      </c>
      <c r="CB24" s="4">
        <f t="shared" si="70"/>
        <v>9236883.75</v>
      </c>
      <c r="CC24" s="4">
        <f t="shared" si="71"/>
        <v>0</v>
      </c>
      <c r="CD24" s="70">
        <f t="shared" si="72"/>
        <v>471317.98</v>
      </c>
      <c r="CE24" s="72">
        <f t="shared" si="73"/>
        <v>441317.98</v>
      </c>
      <c r="CF24" s="72">
        <f t="shared" si="74"/>
        <v>0</v>
      </c>
      <c r="CG24" s="72">
        <f t="shared" si="35"/>
        <v>6829228.599999999</v>
      </c>
      <c r="CH24" s="72">
        <f t="shared" si="75"/>
        <v>335462.60000000003</v>
      </c>
      <c r="CI24" s="35">
        <f t="shared" si="76"/>
        <v>775462.6000000001</v>
      </c>
      <c r="CJ24" s="57" t="str">
        <f t="shared" si="36"/>
        <v>-</v>
      </c>
      <c r="CK24" s="57" t="str">
        <f t="shared" si="37"/>
        <v>-</v>
      </c>
      <c r="CL24" s="148">
        <f t="shared" si="38"/>
        <v>0.06901481962399092</v>
      </c>
      <c r="CM24" s="148">
        <f t="shared" si="39"/>
        <v>0.06462193694907212</v>
      </c>
      <c r="CN24" s="148">
        <f t="shared" si="40"/>
        <v>0.049121594787440576</v>
      </c>
      <c r="CO24" s="148">
        <f t="shared" si="41"/>
        <v>0.11355054068624973</v>
      </c>
      <c r="CP24" s="148">
        <f t="shared" si="42"/>
        <v>0.07266720517469774</v>
      </c>
      <c r="CQ24" s="148">
        <f t="shared" si="43"/>
        <v>0.07266720517469774</v>
      </c>
      <c r="CR24" s="149">
        <f t="shared" si="44"/>
        <v>-10.32405534440269</v>
      </c>
      <c r="CS24" s="72">
        <f t="shared" si="45"/>
        <v>-4556191.25</v>
      </c>
      <c r="CT24" s="76">
        <f t="shared" si="77"/>
        <v>7945286.32</v>
      </c>
      <c r="CU24" s="76">
        <f t="shared" si="78"/>
        <v>8386604.299999999</v>
      </c>
      <c r="CV24" s="76">
        <f t="shared" si="79"/>
        <v>441317.9799999986</v>
      </c>
      <c r="CW24" s="76">
        <f t="shared" si="80"/>
        <v>30000</v>
      </c>
      <c r="CX24" s="76">
        <f t="shared" si="81"/>
        <v>471317.9799999986</v>
      </c>
      <c r="CY24" s="76">
        <f t="shared" si="82"/>
        <v>31317.979999998584</v>
      </c>
      <c r="CZ24" s="76">
        <f t="shared" si="83"/>
        <v>0</v>
      </c>
      <c r="DA24" s="76">
        <f t="shared" si="84"/>
        <v>440000</v>
      </c>
      <c r="DB24" s="76">
        <f t="shared" si="85"/>
        <v>471317.9799999986</v>
      </c>
      <c r="DC24" s="76">
        <f t="shared" si="86"/>
        <v>-440000</v>
      </c>
      <c r="DD24" s="76">
        <f t="shared" si="87"/>
        <v>31317.979999998584</v>
      </c>
      <c r="DE24" s="76">
        <f t="shared" si="88"/>
        <v>1758695.65</v>
      </c>
      <c r="DF24" s="76">
        <f t="shared" si="89"/>
        <v>-1245.5416211044287</v>
      </c>
      <c r="DG24" s="76">
        <f t="shared" si="90"/>
        <v>91.70656096227448</v>
      </c>
      <c r="DH24" s="76">
        <f t="shared" si="91"/>
        <v>480.7806588299617</v>
      </c>
      <c r="DI24" s="77">
        <f t="shared" si="92"/>
        <v>0</v>
      </c>
      <c r="DJ24" s="72">
        <f t="shared" si="93"/>
        <v>128.8458119190811</v>
      </c>
      <c r="DK24" s="151">
        <f t="shared" si="46"/>
        <v>-4778191.25</v>
      </c>
      <c r="DL24" s="136">
        <v>80</v>
      </c>
      <c r="DM24" s="136">
        <v>537</v>
      </c>
      <c r="DN24" s="65">
        <v>0</v>
      </c>
    </row>
    <row r="25" spans="1:118" ht="12.75">
      <c r="A25" s="50" t="s">
        <v>36</v>
      </c>
      <c r="B25" s="39">
        <v>1785</v>
      </c>
      <c r="C25" s="4">
        <v>3909508</v>
      </c>
      <c r="D25" s="66">
        <v>2190.2</v>
      </c>
      <c r="E25" s="66">
        <v>63.52</v>
      </c>
      <c r="F25" s="8">
        <v>13</v>
      </c>
      <c r="G25" s="129">
        <v>1288344.75</v>
      </c>
      <c r="H25" s="41">
        <v>284075.25</v>
      </c>
      <c r="I25" s="41">
        <v>61942.95</v>
      </c>
      <c r="J25" s="41">
        <v>0</v>
      </c>
      <c r="K25" s="41">
        <v>59000</v>
      </c>
      <c r="L25" s="41">
        <v>0</v>
      </c>
      <c r="M25" s="41">
        <f t="shared" si="0"/>
        <v>59000</v>
      </c>
      <c r="N25" s="41">
        <v>0</v>
      </c>
      <c r="O25" s="41">
        <v>383981.7</v>
      </c>
      <c r="P25" s="41">
        <v>11275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59"/>
        <v>0</v>
      </c>
      <c r="X25" s="41">
        <v>0</v>
      </c>
      <c r="Y25" s="41">
        <f t="shared" si="60"/>
        <v>2088619.65</v>
      </c>
      <c r="Z25" s="41">
        <v>590187.5</v>
      </c>
      <c r="AA25" s="41">
        <v>20739.05</v>
      </c>
      <c r="AB25" s="41">
        <v>0</v>
      </c>
      <c r="AC25" s="41">
        <v>7287.55</v>
      </c>
      <c r="AD25" s="41">
        <v>0</v>
      </c>
      <c r="AE25" s="41">
        <f t="shared" si="61"/>
        <v>618214.1000000001</v>
      </c>
      <c r="AF25" s="41">
        <v>0</v>
      </c>
      <c r="AG25" s="41">
        <v>2104.35</v>
      </c>
      <c r="AH25" s="41">
        <v>0</v>
      </c>
      <c r="AI25" s="41">
        <v>76651.9</v>
      </c>
      <c r="AJ25" s="41">
        <v>645742</v>
      </c>
      <c r="AK25" s="41">
        <v>0</v>
      </c>
      <c r="AL25" s="41">
        <v>604790.65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2"/>
        <v>0</v>
      </c>
      <c r="AT25" s="4">
        <v>0</v>
      </c>
      <c r="AU25" s="4">
        <f t="shared" si="63"/>
        <v>1947503</v>
      </c>
      <c r="AV25" s="4">
        <v>0</v>
      </c>
      <c r="AW25" s="4">
        <v>141116.65</v>
      </c>
      <c r="AX25" s="4">
        <f t="shared" si="64"/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5"/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f t="shared" si="66"/>
        <v>0</v>
      </c>
      <c r="BP25" s="41">
        <v>0</v>
      </c>
      <c r="BQ25" s="41">
        <v>0</v>
      </c>
      <c r="BR25" s="41">
        <v>0</v>
      </c>
      <c r="BS25" s="41">
        <f t="shared" si="67"/>
        <v>0</v>
      </c>
      <c r="BT25" s="4">
        <v>1180672.4</v>
      </c>
      <c r="BU25" s="4">
        <v>675405.15</v>
      </c>
      <c r="BV25" s="4">
        <v>0</v>
      </c>
      <c r="BW25" s="4">
        <v>141116.65</v>
      </c>
      <c r="BX25" s="4">
        <f t="shared" si="69"/>
        <v>1997194.1999999997</v>
      </c>
      <c r="BY25" s="4">
        <v>1997194.2</v>
      </c>
      <c r="BZ25" s="4">
        <v>0</v>
      </c>
      <c r="CA25" s="4">
        <v>0</v>
      </c>
      <c r="CB25" s="4">
        <f t="shared" si="70"/>
        <v>1997194.2</v>
      </c>
      <c r="CC25" s="4">
        <f t="shared" si="71"/>
        <v>0</v>
      </c>
      <c r="CD25" s="70">
        <f t="shared" si="72"/>
        <v>-82116.65</v>
      </c>
      <c r="CE25" s="72">
        <f t="shared" si="73"/>
        <v>-82116.65</v>
      </c>
      <c r="CF25" s="72">
        <f t="shared" si="74"/>
        <v>0</v>
      </c>
      <c r="CG25" s="72">
        <f t="shared" si="35"/>
        <v>1947503</v>
      </c>
      <c r="CH25" s="72">
        <f t="shared" si="75"/>
        <v>59838.6</v>
      </c>
      <c r="CI25" s="35">
        <f t="shared" si="76"/>
        <v>118838.6</v>
      </c>
      <c r="CJ25" s="57" t="str">
        <f t="shared" si="36"/>
        <v>-</v>
      </c>
      <c r="CK25" s="57" t="str">
        <f t="shared" si="37"/>
        <v>-</v>
      </c>
      <c r="CL25" s="148">
        <f t="shared" si="38"/>
        <v>-0.042165095509480596</v>
      </c>
      <c r="CM25" s="148">
        <f t="shared" si="39"/>
        <v>-0.042165095509480596</v>
      </c>
      <c r="CN25" s="148">
        <f t="shared" si="40"/>
        <v>0.030725806327384347</v>
      </c>
      <c r="CO25" s="148">
        <f t="shared" si="41"/>
        <v>0.06102100998047243</v>
      </c>
      <c r="CP25" s="148">
        <f t="shared" si="42"/>
        <v>0.08033712726551549</v>
      </c>
      <c r="CQ25" s="148">
        <f t="shared" si="43"/>
        <v>0.08033712726551549</v>
      </c>
      <c r="CR25" s="149">
        <f t="shared" si="44"/>
        <v>9.94343778027964</v>
      </c>
      <c r="CS25" s="72">
        <f t="shared" si="45"/>
        <v>-816521.8</v>
      </c>
      <c r="CT25" s="76">
        <f t="shared" si="77"/>
        <v>2029619.65</v>
      </c>
      <c r="CU25" s="76">
        <f t="shared" si="78"/>
        <v>1947503</v>
      </c>
      <c r="CV25" s="76">
        <f t="shared" si="79"/>
        <v>-82116.6499999999</v>
      </c>
      <c r="CW25" s="76">
        <f t="shared" si="80"/>
        <v>0</v>
      </c>
      <c r="CX25" s="76">
        <f t="shared" si="81"/>
        <v>-82116.6499999999</v>
      </c>
      <c r="CY25" s="76">
        <f t="shared" si="82"/>
        <v>-141116.6499999999</v>
      </c>
      <c r="CZ25" s="76">
        <f t="shared" si="83"/>
        <v>0</v>
      </c>
      <c r="DA25" s="76">
        <f t="shared" si="84"/>
        <v>59000</v>
      </c>
      <c r="DB25" s="76">
        <f t="shared" si="85"/>
        <v>-82116.6499999999</v>
      </c>
      <c r="DC25" s="76">
        <f t="shared" si="86"/>
        <v>-59000</v>
      </c>
      <c r="DD25" s="76">
        <f t="shared" si="87"/>
        <v>-141116.6499999999</v>
      </c>
      <c r="DE25" s="76">
        <f t="shared" si="88"/>
        <v>610926.55</v>
      </c>
      <c r="DF25" s="76">
        <f t="shared" si="89"/>
        <v>-457.43518207282915</v>
      </c>
      <c r="DG25" s="76">
        <f t="shared" si="90"/>
        <v>33.523025210084036</v>
      </c>
      <c r="DH25" s="76">
        <f t="shared" si="91"/>
        <v>342.25577030812326</v>
      </c>
      <c r="DI25" s="77">
        <f t="shared" si="92"/>
        <v>0</v>
      </c>
      <c r="DJ25" s="72">
        <f t="shared" si="93"/>
        <v>-46.003725490196025</v>
      </c>
      <c r="DK25" s="151">
        <f t="shared" si="46"/>
        <v>-816521.8</v>
      </c>
      <c r="DL25" s="72">
        <v>60</v>
      </c>
      <c r="DM25" s="72">
        <v>167</v>
      </c>
      <c r="DN25" s="63">
        <v>0</v>
      </c>
    </row>
    <row r="26" spans="1:118" ht="12.75">
      <c r="A26" s="49" t="s">
        <v>17</v>
      </c>
      <c r="B26" s="44">
        <v>433</v>
      </c>
      <c r="C26" s="36">
        <v>896101</v>
      </c>
      <c r="D26" s="64">
        <v>2069.52</v>
      </c>
      <c r="E26" s="64">
        <v>60.02</v>
      </c>
      <c r="F26" s="124">
        <v>10</v>
      </c>
      <c r="G26" s="130">
        <v>417183.05</v>
      </c>
      <c r="H26" s="40">
        <v>82658.15</v>
      </c>
      <c r="I26" s="40">
        <v>18862.95</v>
      </c>
      <c r="J26" s="40">
        <v>0</v>
      </c>
      <c r="K26" s="40">
        <v>67716.4</v>
      </c>
      <c r="L26" s="40">
        <v>0</v>
      </c>
      <c r="M26" s="41">
        <f t="shared" si="0"/>
        <v>67716.4</v>
      </c>
      <c r="N26" s="40">
        <v>0</v>
      </c>
      <c r="O26" s="40">
        <v>72709.45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59"/>
        <v>0</v>
      </c>
      <c r="X26" s="40">
        <v>0</v>
      </c>
      <c r="Y26" s="41">
        <f t="shared" si="60"/>
        <v>659129.9999999999</v>
      </c>
      <c r="Z26" s="40">
        <v>117931.9</v>
      </c>
      <c r="AA26" s="40">
        <v>4223.45</v>
      </c>
      <c r="AB26" s="40">
        <v>0</v>
      </c>
      <c r="AC26" s="40">
        <v>8299.4</v>
      </c>
      <c r="AD26" s="40">
        <v>0</v>
      </c>
      <c r="AE26" s="41">
        <f t="shared" si="61"/>
        <v>130454.74999999999</v>
      </c>
      <c r="AF26" s="40">
        <v>0</v>
      </c>
      <c r="AG26" s="40">
        <v>875.95</v>
      </c>
      <c r="AH26" s="40">
        <v>0</v>
      </c>
      <c r="AI26" s="40">
        <v>8127.45</v>
      </c>
      <c r="AJ26" s="40">
        <v>154669</v>
      </c>
      <c r="AK26" s="40">
        <v>45853.7</v>
      </c>
      <c r="AL26" s="40">
        <v>165754.85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2"/>
        <v>0</v>
      </c>
      <c r="AT26" s="36">
        <v>0</v>
      </c>
      <c r="AU26" s="4">
        <f t="shared" si="63"/>
        <v>505735.69999999995</v>
      </c>
      <c r="AV26" s="36">
        <v>0</v>
      </c>
      <c r="AW26" s="36">
        <v>153394.3</v>
      </c>
      <c r="AX26" s="4">
        <f t="shared" si="64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5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66"/>
        <v>0</v>
      </c>
      <c r="BP26" s="40">
        <v>0</v>
      </c>
      <c r="BQ26" s="40">
        <v>0</v>
      </c>
      <c r="BR26" s="40">
        <v>0</v>
      </c>
      <c r="BS26" s="41">
        <f t="shared" si="67"/>
        <v>0</v>
      </c>
      <c r="BT26" s="36">
        <v>336083.35</v>
      </c>
      <c r="BU26" s="36">
        <v>357901</v>
      </c>
      <c r="BV26" s="36">
        <v>0</v>
      </c>
      <c r="BW26" s="36">
        <v>158142.62</v>
      </c>
      <c r="BX26" s="4">
        <f t="shared" si="69"/>
        <v>852126.97</v>
      </c>
      <c r="BY26" s="36">
        <v>852126.97</v>
      </c>
      <c r="BZ26" s="36">
        <v>0</v>
      </c>
      <c r="CA26" s="36">
        <v>0</v>
      </c>
      <c r="CB26" s="4">
        <f t="shared" si="70"/>
        <v>852126.97</v>
      </c>
      <c r="CC26" s="4">
        <f t="shared" si="71"/>
        <v>0</v>
      </c>
      <c r="CD26" s="70">
        <f t="shared" si="72"/>
        <v>-85677.9</v>
      </c>
      <c r="CE26" s="72">
        <f t="shared" si="73"/>
        <v>-85677.9</v>
      </c>
      <c r="CF26" s="72">
        <f t="shared" si="74"/>
        <v>0</v>
      </c>
      <c r="CG26" s="72">
        <f t="shared" si="35"/>
        <v>505735.69999999995</v>
      </c>
      <c r="CH26" s="72">
        <f t="shared" si="75"/>
        <v>17987</v>
      </c>
      <c r="CI26" s="35">
        <f t="shared" si="76"/>
        <v>85703.4</v>
      </c>
      <c r="CJ26" s="57" t="str">
        <f t="shared" si="36"/>
        <v>-</v>
      </c>
      <c r="CK26" s="57" t="str">
        <f t="shared" si="37"/>
        <v>-</v>
      </c>
      <c r="CL26" s="148">
        <f t="shared" si="38"/>
        <v>-0.16941240256521342</v>
      </c>
      <c r="CM26" s="148">
        <f t="shared" si="39"/>
        <v>-0.16941240256521342</v>
      </c>
      <c r="CN26" s="148">
        <f t="shared" si="40"/>
        <v>0.03556600809474198</v>
      </c>
      <c r="CO26" s="148">
        <f t="shared" si="41"/>
        <v>0.1694628241589431</v>
      </c>
      <c r="CP26" s="148">
        <f t="shared" si="42"/>
        <v>0.15910157808397868</v>
      </c>
      <c r="CQ26" s="148">
        <f t="shared" si="43"/>
        <v>0.15910157808397868</v>
      </c>
      <c r="CR26" s="149">
        <f t="shared" si="44"/>
        <v>6.023065691385994</v>
      </c>
      <c r="CS26" s="72">
        <f t="shared" si="45"/>
        <v>-516043.62</v>
      </c>
      <c r="CT26" s="76">
        <f t="shared" si="77"/>
        <v>591413.5999999999</v>
      </c>
      <c r="CU26" s="76">
        <f t="shared" si="78"/>
        <v>505735.69999999995</v>
      </c>
      <c r="CV26" s="76">
        <f t="shared" si="79"/>
        <v>-85677.8999999999</v>
      </c>
      <c r="CW26" s="76">
        <f t="shared" si="80"/>
        <v>0</v>
      </c>
      <c r="CX26" s="76">
        <f t="shared" si="81"/>
        <v>-85677.8999999999</v>
      </c>
      <c r="CY26" s="76">
        <f t="shared" si="82"/>
        <v>-153394.2999999999</v>
      </c>
      <c r="CZ26" s="76">
        <f t="shared" si="83"/>
        <v>0</v>
      </c>
      <c r="DA26" s="76">
        <f t="shared" si="84"/>
        <v>67716.4</v>
      </c>
      <c r="DB26" s="76">
        <f t="shared" si="85"/>
        <v>-85677.8999999999</v>
      </c>
      <c r="DC26" s="76">
        <f t="shared" si="86"/>
        <v>-67716.4</v>
      </c>
      <c r="DD26" s="76">
        <f t="shared" si="87"/>
        <v>-153394.2999999999</v>
      </c>
      <c r="DE26" s="76">
        <f t="shared" si="88"/>
        <v>122155.34999999999</v>
      </c>
      <c r="DF26" s="76">
        <f t="shared" si="89"/>
        <v>-1191.7866512702078</v>
      </c>
      <c r="DG26" s="76">
        <f t="shared" si="90"/>
        <v>41.54041570438799</v>
      </c>
      <c r="DH26" s="76">
        <f t="shared" si="91"/>
        <v>282.1139722863741</v>
      </c>
      <c r="DI26" s="77">
        <f t="shared" si="92"/>
        <v>0</v>
      </c>
      <c r="DJ26" s="72">
        <f t="shared" si="93"/>
        <v>-197.870438799076</v>
      </c>
      <c r="DK26" s="151">
        <f t="shared" si="46"/>
        <v>-516043.62</v>
      </c>
      <c r="DL26" s="136">
        <v>14</v>
      </c>
      <c r="DM26" s="136">
        <v>51</v>
      </c>
      <c r="DN26" s="65">
        <v>0</v>
      </c>
    </row>
    <row r="27" spans="1:118" ht="12.75">
      <c r="A27" s="50" t="s">
        <v>18</v>
      </c>
      <c r="B27" s="39">
        <v>608</v>
      </c>
      <c r="C27" s="4">
        <v>1560210</v>
      </c>
      <c r="D27" s="66">
        <v>2566.13</v>
      </c>
      <c r="E27" s="66">
        <v>74.42</v>
      </c>
      <c r="F27" s="8">
        <v>13</v>
      </c>
      <c r="G27" s="129">
        <f>(G42/($B$11+$B$27)*$B$27)</f>
        <v>417553.06060217804</v>
      </c>
      <c r="H27" s="129">
        <f aca="true" t="shared" si="100" ref="H27:BU27">(H42/($B$11+$B$27)*$B$27)</f>
        <v>84987.87392696989</v>
      </c>
      <c r="I27" s="129">
        <f t="shared" si="100"/>
        <v>34352.45278667521</v>
      </c>
      <c r="J27" s="129">
        <f t="shared" si="100"/>
        <v>4138.372837924408</v>
      </c>
      <c r="K27" s="129">
        <f t="shared" si="100"/>
        <v>60044.06534272902</v>
      </c>
      <c r="L27" s="129">
        <f t="shared" si="100"/>
        <v>0</v>
      </c>
      <c r="M27" s="41">
        <f t="shared" si="0"/>
        <v>60044.06534272902</v>
      </c>
      <c r="N27" s="129">
        <f t="shared" si="100"/>
        <v>0</v>
      </c>
      <c r="O27" s="129">
        <f t="shared" si="100"/>
        <v>173403.7519538757</v>
      </c>
      <c r="P27" s="129">
        <f t="shared" si="100"/>
        <v>0</v>
      </c>
      <c r="Q27" s="129">
        <f t="shared" si="100"/>
        <v>0</v>
      </c>
      <c r="R27" s="129">
        <f t="shared" si="100"/>
        <v>0</v>
      </c>
      <c r="S27" s="129">
        <f t="shared" si="100"/>
        <v>0</v>
      </c>
      <c r="T27" s="129">
        <f t="shared" si="100"/>
        <v>0</v>
      </c>
      <c r="U27" s="129">
        <f t="shared" si="100"/>
        <v>0</v>
      </c>
      <c r="V27" s="129">
        <f t="shared" si="100"/>
        <v>0</v>
      </c>
      <c r="W27" s="41">
        <f t="shared" si="59"/>
        <v>0</v>
      </c>
      <c r="X27" s="129">
        <f t="shared" si="100"/>
        <v>0</v>
      </c>
      <c r="Y27" s="41">
        <f t="shared" si="60"/>
        <v>774479.5774503523</v>
      </c>
      <c r="Z27" s="129">
        <f t="shared" si="100"/>
        <v>377212.19730941707</v>
      </c>
      <c r="AA27" s="129">
        <f t="shared" si="100"/>
        <v>26438.15554131967</v>
      </c>
      <c r="AB27" s="129">
        <f t="shared" si="100"/>
        <v>0</v>
      </c>
      <c r="AC27" s="129">
        <f t="shared" si="100"/>
        <v>18466.266752082</v>
      </c>
      <c r="AD27" s="129">
        <f t="shared" si="100"/>
        <v>0</v>
      </c>
      <c r="AE27" s="41">
        <f t="shared" si="61"/>
        <v>422116.61960281874</v>
      </c>
      <c r="AF27" s="129">
        <f t="shared" si="100"/>
        <v>0</v>
      </c>
      <c r="AG27" s="129">
        <f t="shared" si="100"/>
        <v>22853.9400384369</v>
      </c>
      <c r="AH27" s="129">
        <f t="shared" si="100"/>
        <v>0</v>
      </c>
      <c r="AI27" s="129">
        <f t="shared" si="100"/>
        <v>24462.65701473414</v>
      </c>
      <c r="AJ27" s="129">
        <f t="shared" si="100"/>
        <v>151735.87443946188</v>
      </c>
      <c r="AK27" s="129">
        <f t="shared" si="100"/>
        <v>6481.417296604741</v>
      </c>
      <c r="AL27" s="129">
        <f t="shared" si="100"/>
        <v>162142.402049968</v>
      </c>
      <c r="AM27" s="129">
        <f t="shared" si="100"/>
        <v>0</v>
      </c>
      <c r="AN27" s="129">
        <f t="shared" si="100"/>
        <v>0</v>
      </c>
      <c r="AO27" s="129">
        <f t="shared" si="100"/>
        <v>0</v>
      </c>
      <c r="AP27" s="129">
        <f t="shared" si="100"/>
        <v>0</v>
      </c>
      <c r="AQ27" s="129">
        <f t="shared" si="100"/>
        <v>0</v>
      </c>
      <c r="AR27" s="129">
        <f t="shared" si="100"/>
        <v>0</v>
      </c>
      <c r="AS27" s="4">
        <f t="shared" si="62"/>
        <v>0</v>
      </c>
      <c r="AT27" s="129">
        <f t="shared" si="100"/>
        <v>14257.814221652787</v>
      </c>
      <c r="AU27" s="4">
        <f t="shared" si="63"/>
        <v>804050.7246636772</v>
      </c>
      <c r="AV27" s="129">
        <f t="shared" si="100"/>
        <v>29571.147213324795</v>
      </c>
      <c r="AW27" s="129">
        <f t="shared" si="100"/>
        <v>0</v>
      </c>
      <c r="AX27" s="4">
        <f t="shared" si="64"/>
        <v>-1.0913936421275139E-10</v>
      </c>
      <c r="AY27" s="129">
        <f t="shared" si="100"/>
        <v>0</v>
      </c>
      <c r="AZ27" s="129">
        <f t="shared" si="100"/>
        <v>17582.30544522742</v>
      </c>
      <c r="BA27" s="129">
        <f t="shared" si="100"/>
        <v>0</v>
      </c>
      <c r="BB27" s="129">
        <f t="shared" si="100"/>
        <v>0</v>
      </c>
      <c r="BC27" s="129">
        <f t="shared" si="100"/>
        <v>0</v>
      </c>
      <c r="BD27" s="129">
        <f t="shared" si="100"/>
        <v>0</v>
      </c>
      <c r="BE27" s="129">
        <f t="shared" si="100"/>
        <v>0</v>
      </c>
      <c r="BF27" s="41">
        <f t="shared" si="65"/>
        <v>17582.30544522742</v>
      </c>
      <c r="BG27" s="129">
        <f t="shared" si="100"/>
        <v>0</v>
      </c>
      <c r="BH27" s="129">
        <f t="shared" si="100"/>
        <v>0</v>
      </c>
      <c r="BI27" s="129">
        <f t="shared" si="100"/>
        <v>0</v>
      </c>
      <c r="BJ27" s="129">
        <f t="shared" si="100"/>
        <v>0</v>
      </c>
      <c r="BK27" s="129">
        <f t="shared" si="100"/>
        <v>0</v>
      </c>
      <c r="BL27" s="129">
        <f t="shared" si="100"/>
        <v>0</v>
      </c>
      <c r="BM27" s="129">
        <f t="shared" si="100"/>
        <v>2723.5021140294684</v>
      </c>
      <c r="BN27" s="129">
        <f t="shared" si="100"/>
        <v>0</v>
      </c>
      <c r="BO27" s="41">
        <f t="shared" si="66"/>
        <v>2723.5021140294684</v>
      </c>
      <c r="BP27" s="129">
        <f t="shared" si="100"/>
        <v>2723.5021140294684</v>
      </c>
      <c r="BQ27" s="129">
        <f t="shared" si="100"/>
        <v>0</v>
      </c>
      <c r="BR27" s="129">
        <f t="shared" si="100"/>
        <v>17582.30544522742</v>
      </c>
      <c r="BS27" s="41">
        <f t="shared" si="67"/>
        <v>0</v>
      </c>
      <c r="BT27" s="129">
        <f t="shared" si="100"/>
        <v>1059152.2321588723</v>
      </c>
      <c r="BU27" s="129">
        <f t="shared" si="100"/>
        <v>761446.6972453556</v>
      </c>
      <c r="BV27" s="129">
        <f aca="true" t="shared" si="101" ref="BV27:CA27">(BV42/($B$11+$B$27)*$B$27)</f>
        <v>0</v>
      </c>
      <c r="BW27" s="129">
        <f t="shared" si="101"/>
        <v>0</v>
      </c>
      <c r="BX27" s="4">
        <f t="shared" si="69"/>
        <v>1820598.929404228</v>
      </c>
      <c r="BY27" s="129">
        <f t="shared" si="101"/>
        <v>1752776.5673798847</v>
      </c>
      <c r="BZ27" s="129">
        <f t="shared" si="101"/>
        <v>0</v>
      </c>
      <c r="CA27" s="129">
        <f t="shared" si="101"/>
        <v>67822.36202434337</v>
      </c>
      <c r="CB27" s="4">
        <f t="shared" si="70"/>
        <v>1820598.929404228</v>
      </c>
      <c r="CC27" s="4">
        <f t="shared" si="71"/>
        <v>0</v>
      </c>
      <c r="CD27" s="70">
        <f t="shared" si="72"/>
        <v>89615.21255605383</v>
      </c>
      <c r="CE27" s="72">
        <f t="shared" si="73"/>
        <v>89615.21255605383</v>
      </c>
      <c r="CF27" s="72">
        <f t="shared" si="74"/>
        <v>14858.80333119795</v>
      </c>
      <c r="CG27" s="72">
        <f t="shared" si="35"/>
        <v>789792.9104420244</v>
      </c>
      <c r="CH27" s="72">
        <f t="shared" si="75"/>
        <v>11498.51274823831</v>
      </c>
      <c r="CI27" s="35">
        <f t="shared" si="76"/>
        <v>71542.57809096733</v>
      </c>
      <c r="CJ27" s="57">
        <f t="shared" si="36"/>
        <v>6.0311190987968235</v>
      </c>
      <c r="CK27" s="57">
        <f t="shared" si="37"/>
        <v>6.0311190987968235</v>
      </c>
      <c r="CL27" s="148">
        <f t="shared" si="38"/>
        <v>0.11346672193587908</v>
      </c>
      <c r="CM27" s="148">
        <f t="shared" si="39"/>
        <v>0.11346672193587908</v>
      </c>
      <c r="CN27" s="148">
        <f t="shared" si="40"/>
        <v>0.014558895877911747</v>
      </c>
      <c r="CO27" s="148">
        <f t="shared" si="41"/>
        <v>0.09058397099427876</v>
      </c>
      <c r="CP27" s="148">
        <f t="shared" si="42"/>
        <v>0.07309158919031762</v>
      </c>
      <c r="CQ27" s="148">
        <f t="shared" si="43"/>
        <v>0.07309158919031762</v>
      </c>
      <c r="CR27" s="149">
        <f t="shared" si="44"/>
        <v>-7.740028901757658</v>
      </c>
      <c r="CS27" s="72">
        <f t="shared" si="45"/>
        <v>-693624.3352210124</v>
      </c>
      <c r="CT27" s="76">
        <f t="shared" si="77"/>
        <v>714435.5121076233</v>
      </c>
      <c r="CU27" s="76">
        <f t="shared" si="78"/>
        <v>804050.7246636772</v>
      </c>
      <c r="CV27" s="76">
        <f t="shared" si="79"/>
        <v>89615.21255605388</v>
      </c>
      <c r="CW27" s="76">
        <f t="shared" si="80"/>
        <v>0</v>
      </c>
      <c r="CX27" s="76">
        <f t="shared" si="81"/>
        <v>89615.21255605388</v>
      </c>
      <c r="CY27" s="76">
        <f t="shared" si="82"/>
        <v>29571.14721332486</v>
      </c>
      <c r="CZ27" s="76">
        <f t="shared" si="83"/>
        <v>14858.80333119795</v>
      </c>
      <c r="DA27" s="76">
        <f t="shared" si="84"/>
        <v>60044.06534272902</v>
      </c>
      <c r="DB27" s="76">
        <f t="shared" si="85"/>
        <v>74756.40922485593</v>
      </c>
      <c r="DC27" s="76">
        <f t="shared" si="86"/>
        <v>-62767.567456758494</v>
      </c>
      <c r="DD27" s="76">
        <f t="shared" si="87"/>
        <v>29571.147213324857</v>
      </c>
      <c r="DE27" s="76">
        <f t="shared" si="88"/>
        <v>403650.35285073676</v>
      </c>
      <c r="DF27" s="76">
        <f t="shared" si="89"/>
        <v>-1140.8294987187703</v>
      </c>
      <c r="DG27" s="147">
        <f>CH27/B27</f>
        <v>18.91202754644459</v>
      </c>
      <c r="DH27" s="76">
        <f t="shared" si="91"/>
        <v>663.898606662396</v>
      </c>
      <c r="DI27" s="77">
        <f t="shared" si="92"/>
        <v>24.438821268417684</v>
      </c>
      <c r="DJ27" s="72">
        <f t="shared" si="93"/>
        <v>122.95462043561831</v>
      </c>
      <c r="DK27" s="151">
        <f t="shared" si="46"/>
        <v>-693624.3352210122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4">
        <v>475</v>
      </c>
      <c r="C28" s="36">
        <v>779154</v>
      </c>
      <c r="D28" s="64">
        <v>1640.32</v>
      </c>
      <c r="E28" s="64">
        <v>47.57</v>
      </c>
      <c r="F28" s="124">
        <v>12</v>
      </c>
      <c r="G28" s="130">
        <v>396413</v>
      </c>
      <c r="H28" s="40">
        <v>89649</v>
      </c>
      <c r="I28" s="40">
        <v>55631</v>
      </c>
      <c r="J28" s="40">
        <v>0</v>
      </c>
      <c r="K28" s="40">
        <v>72300</v>
      </c>
      <c r="L28" s="40">
        <v>0</v>
      </c>
      <c r="M28" s="41">
        <f t="shared" si="0"/>
        <v>72300</v>
      </c>
      <c r="N28" s="40">
        <v>0</v>
      </c>
      <c r="O28" s="40">
        <v>341383</v>
      </c>
      <c r="P28" s="40">
        <v>2300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59"/>
        <v>0</v>
      </c>
      <c r="X28" s="40">
        <v>47374</v>
      </c>
      <c r="Y28" s="41">
        <f t="shared" si="60"/>
        <v>1005050</v>
      </c>
      <c r="Z28" s="40">
        <v>91855</v>
      </c>
      <c r="AA28" s="40">
        <v>3019</v>
      </c>
      <c r="AB28" s="40">
        <v>1848</v>
      </c>
      <c r="AC28" s="40">
        <v>0</v>
      </c>
      <c r="AD28" s="40">
        <v>0</v>
      </c>
      <c r="AE28" s="41">
        <f t="shared" si="61"/>
        <v>96722</v>
      </c>
      <c r="AF28" s="40">
        <v>0</v>
      </c>
      <c r="AG28" s="40">
        <v>1119</v>
      </c>
      <c r="AH28" s="40">
        <v>0</v>
      </c>
      <c r="AI28" s="40">
        <v>20067</v>
      </c>
      <c r="AJ28" s="40">
        <v>182164</v>
      </c>
      <c r="AK28" s="40">
        <v>163851</v>
      </c>
      <c r="AL28" s="40">
        <v>233121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2"/>
        <v>0</v>
      </c>
      <c r="AT28" s="36">
        <v>47374</v>
      </c>
      <c r="AU28" s="4">
        <f t="shared" si="63"/>
        <v>744418</v>
      </c>
      <c r="AV28" s="36">
        <v>0</v>
      </c>
      <c r="AW28" s="36">
        <v>260632</v>
      </c>
      <c r="AX28" s="4">
        <f t="shared" si="64"/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5"/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1">
        <f t="shared" si="66"/>
        <v>0</v>
      </c>
      <c r="BP28" s="40">
        <v>0</v>
      </c>
      <c r="BQ28" s="40">
        <v>0</v>
      </c>
      <c r="BR28" s="40">
        <v>0</v>
      </c>
      <c r="BS28" s="41">
        <f t="shared" si="67"/>
        <v>0</v>
      </c>
      <c r="BT28" s="36">
        <v>666359</v>
      </c>
      <c r="BU28" s="36">
        <v>984003</v>
      </c>
      <c r="BV28" s="36">
        <v>0</v>
      </c>
      <c r="BW28" s="36">
        <v>0</v>
      </c>
      <c r="BX28" s="4">
        <f t="shared" si="69"/>
        <v>1650362</v>
      </c>
      <c r="BY28" s="36">
        <v>1573203</v>
      </c>
      <c r="BZ28" s="36">
        <v>0</v>
      </c>
      <c r="CA28" s="36">
        <v>77159</v>
      </c>
      <c r="CB28" s="4">
        <f t="shared" si="70"/>
        <v>1650362</v>
      </c>
      <c r="CC28" s="4">
        <f t="shared" si="71"/>
        <v>0</v>
      </c>
      <c r="CD28" s="70">
        <f t="shared" si="72"/>
        <v>-188332</v>
      </c>
      <c r="CE28" s="72">
        <f t="shared" si="73"/>
        <v>-188332</v>
      </c>
      <c r="CF28" s="72">
        <f t="shared" si="74"/>
        <v>0</v>
      </c>
      <c r="CG28" s="72">
        <f t="shared" si="35"/>
        <v>697044</v>
      </c>
      <c r="CH28" s="72">
        <f t="shared" si="75"/>
        <v>54512</v>
      </c>
      <c r="CI28" s="35">
        <f t="shared" si="76"/>
        <v>126812</v>
      </c>
      <c r="CJ28" s="57" t="str">
        <f t="shared" si="36"/>
        <v>-</v>
      </c>
      <c r="CK28" s="57" t="str">
        <f t="shared" si="37"/>
        <v>-</v>
      </c>
      <c r="CL28" s="148">
        <f t="shared" si="38"/>
        <v>-0.27018667401197055</v>
      </c>
      <c r="CM28" s="148">
        <f t="shared" si="39"/>
        <v>-0.27018667401197055</v>
      </c>
      <c r="CN28" s="148">
        <f t="shared" si="40"/>
        <v>0.07820453228203672</v>
      </c>
      <c r="CO28" s="148">
        <f t="shared" si="41"/>
        <v>0.18192825703972776</v>
      </c>
      <c r="CP28" s="148">
        <f t="shared" si="42"/>
        <v>0.06844626967830253</v>
      </c>
      <c r="CQ28" s="148">
        <f t="shared" si="43"/>
        <v>0.06844626967830253</v>
      </c>
      <c r="CR28" s="149">
        <f t="shared" si="44"/>
        <v>4.815134974406899</v>
      </c>
      <c r="CS28" s="72">
        <f t="shared" si="45"/>
        <v>-906844</v>
      </c>
      <c r="CT28" s="76">
        <f t="shared" si="77"/>
        <v>932750</v>
      </c>
      <c r="CU28" s="76">
        <f t="shared" si="78"/>
        <v>744418</v>
      </c>
      <c r="CV28" s="76">
        <f t="shared" si="79"/>
        <v>-188332</v>
      </c>
      <c r="CW28" s="76">
        <f t="shared" si="80"/>
        <v>0</v>
      </c>
      <c r="CX28" s="76">
        <f t="shared" si="81"/>
        <v>-188332</v>
      </c>
      <c r="CY28" s="76">
        <f t="shared" si="82"/>
        <v>-260632</v>
      </c>
      <c r="CZ28" s="76">
        <f t="shared" si="83"/>
        <v>0</v>
      </c>
      <c r="DA28" s="76">
        <f t="shared" si="84"/>
        <v>72300</v>
      </c>
      <c r="DB28" s="76">
        <f t="shared" si="85"/>
        <v>-188332</v>
      </c>
      <c r="DC28" s="76">
        <f t="shared" si="86"/>
        <v>-72300</v>
      </c>
      <c r="DD28" s="76">
        <f t="shared" si="87"/>
        <v>-260632</v>
      </c>
      <c r="DE28" s="76">
        <f t="shared" si="88"/>
        <v>96722</v>
      </c>
      <c r="DF28" s="76">
        <f t="shared" si="89"/>
        <v>-1909.1452631578948</v>
      </c>
      <c r="DG28" s="76">
        <f t="shared" si="90"/>
        <v>114.76210526315789</v>
      </c>
      <c r="DH28" s="76">
        <f t="shared" si="91"/>
        <v>203.62526315789475</v>
      </c>
      <c r="DI28" s="77">
        <f t="shared" si="92"/>
        <v>0</v>
      </c>
      <c r="DJ28" s="72">
        <f t="shared" si="93"/>
        <v>-396.48842105263157</v>
      </c>
      <c r="DK28" s="151">
        <f t="shared" si="46"/>
        <v>-906844</v>
      </c>
      <c r="DL28" s="136">
        <v>15</v>
      </c>
      <c r="DM28" s="136">
        <v>43</v>
      </c>
      <c r="DN28" s="65">
        <v>0</v>
      </c>
    </row>
    <row r="29" spans="1:118" ht="12.75">
      <c r="A29" s="50" t="s">
        <v>21</v>
      </c>
      <c r="B29" s="39">
        <v>2650</v>
      </c>
      <c r="C29" s="4">
        <v>11000311</v>
      </c>
      <c r="D29" s="66">
        <v>4151.06</v>
      </c>
      <c r="E29" s="66">
        <v>120.39</v>
      </c>
      <c r="F29" s="8">
        <v>10</v>
      </c>
      <c r="G29" s="129">
        <v>4088448.15</v>
      </c>
      <c r="H29" s="41">
        <v>638411.3</v>
      </c>
      <c r="I29" s="41">
        <v>134932.85</v>
      </c>
      <c r="J29" s="41">
        <v>0</v>
      </c>
      <c r="K29" s="41">
        <v>290094.45</v>
      </c>
      <c r="L29" s="41">
        <v>75200</v>
      </c>
      <c r="M29" s="41">
        <f t="shared" si="0"/>
        <v>365294.45</v>
      </c>
      <c r="N29" s="41">
        <v>0</v>
      </c>
      <c r="O29" s="41">
        <v>272517.9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59"/>
        <v>0</v>
      </c>
      <c r="X29" s="41">
        <v>722746.55</v>
      </c>
      <c r="Y29" s="41">
        <f t="shared" si="60"/>
        <v>6222351.2</v>
      </c>
      <c r="Z29" s="41">
        <v>1076256.2</v>
      </c>
      <c r="AA29" s="41">
        <v>451157.45</v>
      </c>
      <c r="AB29" s="41">
        <v>0</v>
      </c>
      <c r="AC29" s="41">
        <v>42897.1</v>
      </c>
      <c r="AD29" s="41">
        <v>0</v>
      </c>
      <c r="AE29" s="41">
        <f t="shared" si="61"/>
        <v>1570310.75</v>
      </c>
      <c r="AF29" s="41">
        <v>0</v>
      </c>
      <c r="AG29" s="41">
        <v>1710.65</v>
      </c>
      <c r="AH29" s="41">
        <v>0</v>
      </c>
      <c r="AI29" s="41">
        <v>3168.1</v>
      </c>
      <c r="AJ29" s="41">
        <v>1500287</v>
      </c>
      <c r="AK29" s="41">
        <v>582352.3</v>
      </c>
      <c r="AL29" s="41">
        <v>1823198.15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2"/>
        <v>0</v>
      </c>
      <c r="AT29" s="4">
        <v>743466.55</v>
      </c>
      <c r="AU29" s="4">
        <f t="shared" si="63"/>
        <v>6224493.499999999</v>
      </c>
      <c r="AV29" s="4">
        <v>2142.3</v>
      </c>
      <c r="AW29" s="4">
        <v>0</v>
      </c>
      <c r="AX29" s="4">
        <f t="shared" si="64"/>
        <v>1.1177689884789288E-09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5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66"/>
        <v>0</v>
      </c>
      <c r="BP29" s="41">
        <v>0</v>
      </c>
      <c r="BQ29" s="41">
        <v>0</v>
      </c>
      <c r="BR29" s="41">
        <v>0</v>
      </c>
      <c r="BS29" s="41">
        <f t="shared" si="67"/>
        <v>0</v>
      </c>
      <c r="BT29" s="4">
        <v>4040844.06</v>
      </c>
      <c r="BU29" s="4">
        <v>2531300</v>
      </c>
      <c r="BV29" s="4">
        <v>0</v>
      </c>
      <c r="BW29" s="4">
        <v>0</v>
      </c>
      <c r="BX29" s="4">
        <f t="shared" si="69"/>
        <v>6572144.0600000005</v>
      </c>
      <c r="BY29" s="4">
        <v>5770903.89</v>
      </c>
      <c r="BZ29" s="4">
        <v>0</v>
      </c>
      <c r="CA29" s="4">
        <v>801240.17</v>
      </c>
      <c r="CB29" s="4">
        <f t="shared" si="70"/>
        <v>6572144.06</v>
      </c>
      <c r="CC29" s="4">
        <f t="shared" si="71"/>
        <v>0</v>
      </c>
      <c r="CD29" s="70">
        <f t="shared" si="72"/>
        <v>367436.75</v>
      </c>
      <c r="CE29" s="72">
        <f t="shared" si="73"/>
        <v>367436.75</v>
      </c>
      <c r="CF29" s="72">
        <f t="shared" si="74"/>
        <v>0</v>
      </c>
      <c r="CG29" s="72">
        <f t="shared" si="35"/>
        <v>5481026.949999999</v>
      </c>
      <c r="CH29" s="72">
        <f t="shared" si="75"/>
        <v>133222.2</v>
      </c>
      <c r="CI29" s="35">
        <f t="shared" si="76"/>
        <v>423316.65</v>
      </c>
      <c r="CJ29" s="57" t="str">
        <f t="shared" si="36"/>
        <v>-</v>
      </c>
      <c r="CK29" s="57" t="str">
        <f t="shared" si="37"/>
        <v>-</v>
      </c>
      <c r="CL29" s="148">
        <f t="shared" si="38"/>
        <v>0.06703793893952666</v>
      </c>
      <c r="CM29" s="148">
        <f t="shared" si="39"/>
        <v>0.06703793893952666</v>
      </c>
      <c r="CN29" s="148">
        <f t="shared" si="40"/>
        <v>0.024306065490154183</v>
      </c>
      <c r="CO29" s="148">
        <f t="shared" si="41"/>
        <v>0.07723309041565651</v>
      </c>
      <c r="CP29" s="148">
        <f t="shared" si="42"/>
        <v>0.12611169989640766</v>
      </c>
      <c r="CQ29" s="148">
        <f t="shared" si="43"/>
        <v>0.10015017808240294</v>
      </c>
      <c r="CR29" s="149">
        <f t="shared" si="44"/>
        <v>-4.708456162863404</v>
      </c>
      <c r="CS29" s="72">
        <f t="shared" si="45"/>
        <v>-1730059.8299999996</v>
      </c>
      <c r="CT29" s="76">
        <f t="shared" si="77"/>
        <v>5857056.75</v>
      </c>
      <c r="CU29" s="76">
        <f t="shared" si="78"/>
        <v>6224493.499999999</v>
      </c>
      <c r="CV29" s="76">
        <f t="shared" si="79"/>
        <v>367436.74999999907</v>
      </c>
      <c r="CW29" s="76">
        <f t="shared" si="80"/>
        <v>0</v>
      </c>
      <c r="CX29" s="76">
        <f t="shared" si="81"/>
        <v>367436.74999999907</v>
      </c>
      <c r="CY29" s="76">
        <f t="shared" si="82"/>
        <v>2142.299999999057</v>
      </c>
      <c r="CZ29" s="76">
        <f t="shared" si="83"/>
        <v>0</v>
      </c>
      <c r="DA29" s="76">
        <f t="shared" si="84"/>
        <v>365294.45</v>
      </c>
      <c r="DB29" s="76">
        <f t="shared" si="85"/>
        <v>367436.74999999907</v>
      </c>
      <c r="DC29" s="76">
        <f t="shared" si="86"/>
        <v>-365294.45</v>
      </c>
      <c r="DD29" s="76">
        <f t="shared" si="87"/>
        <v>2142.299999999057</v>
      </c>
      <c r="DE29" s="76">
        <f t="shared" si="88"/>
        <v>1527413.65</v>
      </c>
      <c r="DF29" s="76">
        <f t="shared" si="89"/>
        <v>-652.8527660377357</v>
      </c>
      <c r="DG29" s="76">
        <f t="shared" si="90"/>
        <v>50.272528301886794</v>
      </c>
      <c r="DH29" s="76">
        <f t="shared" si="91"/>
        <v>576.3825094339622</v>
      </c>
      <c r="DI29" s="77">
        <f t="shared" si="92"/>
        <v>0</v>
      </c>
      <c r="DJ29" s="72">
        <f t="shared" si="93"/>
        <v>138.65537735849023</v>
      </c>
      <c r="DK29" s="151">
        <f t="shared" si="46"/>
        <v>-1730059.83</v>
      </c>
      <c r="DL29" s="72">
        <v>66</v>
      </c>
      <c r="DM29" s="72">
        <v>388</v>
      </c>
      <c r="DN29" s="63">
        <v>0</v>
      </c>
    </row>
    <row r="30" spans="1:118" ht="12.75">
      <c r="A30" s="49" t="s">
        <v>31</v>
      </c>
      <c r="B30" s="44">
        <v>400</v>
      </c>
      <c r="C30" s="36">
        <v>1133304</v>
      </c>
      <c r="D30" s="64">
        <v>2833.26</v>
      </c>
      <c r="E30" s="64">
        <v>82.17</v>
      </c>
      <c r="F30" s="124">
        <v>14</v>
      </c>
      <c r="G30" s="130">
        <v>425592.9</v>
      </c>
      <c r="H30" s="40">
        <v>82819.9</v>
      </c>
      <c r="I30" s="40">
        <v>59116.1</v>
      </c>
      <c r="J30" s="40">
        <v>0</v>
      </c>
      <c r="K30" s="40">
        <v>127918.65</v>
      </c>
      <c r="L30" s="40">
        <v>0</v>
      </c>
      <c r="M30" s="41">
        <f t="shared" si="0"/>
        <v>127918.65</v>
      </c>
      <c r="N30" s="40">
        <v>0</v>
      </c>
      <c r="O30" s="40">
        <v>86107.35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59"/>
        <v>0</v>
      </c>
      <c r="X30" s="40">
        <v>54049.95</v>
      </c>
      <c r="Y30" s="41">
        <f t="shared" si="60"/>
        <v>835604.85</v>
      </c>
      <c r="Z30" s="40">
        <v>192658.75</v>
      </c>
      <c r="AA30" s="40">
        <v>0</v>
      </c>
      <c r="AB30" s="40">
        <v>0</v>
      </c>
      <c r="AC30" s="40">
        <v>774.7</v>
      </c>
      <c r="AD30" s="40">
        <v>0</v>
      </c>
      <c r="AE30" s="41">
        <f t="shared" si="61"/>
        <v>193433.45</v>
      </c>
      <c r="AF30" s="40">
        <v>0</v>
      </c>
      <c r="AG30" s="40">
        <v>15970.55</v>
      </c>
      <c r="AH30" s="40">
        <v>0</v>
      </c>
      <c r="AI30" s="40">
        <v>3980.9</v>
      </c>
      <c r="AJ30" s="40">
        <v>154668</v>
      </c>
      <c r="AK30" s="40">
        <v>0</v>
      </c>
      <c r="AL30" s="40">
        <v>189592.35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2"/>
        <v>0</v>
      </c>
      <c r="AT30" s="36">
        <v>54049.95</v>
      </c>
      <c r="AU30" s="4">
        <f t="shared" si="63"/>
        <v>611695.2</v>
      </c>
      <c r="AV30" s="36">
        <v>0</v>
      </c>
      <c r="AW30" s="36">
        <v>223909.65</v>
      </c>
      <c r="AX30" s="4">
        <f t="shared" si="64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5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66"/>
        <v>0</v>
      </c>
      <c r="BP30" s="40">
        <v>0</v>
      </c>
      <c r="BQ30" s="40">
        <v>0</v>
      </c>
      <c r="BR30" s="40">
        <v>0</v>
      </c>
      <c r="BS30" s="41">
        <f t="shared" si="67"/>
        <v>0</v>
      </c>
      <c r="BT30" s="36">
        <v>487411</v>
      </c>
      <c r="BU30" s="36">
        <v>691801.3</v>
      </c>
      <c r="BV30" s="36">
        <v>0</v>
      </c>
      <c r="BW30" s="36">
        <v>223909.65</v>
      </c>
      <c r="BX30" s="4">
        <f t="shared" si="69"/>
        <v>1403121.95</v>
      </c>
      <c r="BY30" s="36">
        <v>1389561.45</v>
      </c>
      <c r="BZ30" s="36">
        <v>0</v>
      </c>
      <c r="CA30" s="36">
        <v>13560.5</v>
      </c>
      <c r="CB30" s="4">
        <f t="shared" si="70"/>
        <v>1403121.95</v>
      </c>
      <c r="CC30" s="4">
        <f t="shared" si="71"/>
        <v>0</v>
      </c>
      <c r="CD30" s="70">
        <f t="shared" si="72"/>
        <v>-95991</v>
      </c>
      <c r="CE30" s="72">
        <f t="shared" si="73"/>
        <v>-95991</v>
      </c>
      <c r="CF30" s="72">
        <f t="shared" si="74"/>
        <v>0</v>
      </c>
      <c r="CG30" s="72">
        <f t="shared" si="35"/>
        <v>557645.25</v>
      </c>
      <c r="CH30" s="72">
        <f t="shared" si="75"/>
        <v>43145.55</v>
      </c>
      <c r="CI30" s="35">
        <f t="shared" si="76"/>
        <v>171064.2</v>
      </c>
      <c r="CJ30" s="57" t="str">
        <f t="shared" si="36"/>
        <v>-</v>
      </c>
      <c r="CK30" s="57" t="str">
        <f t="shared" si="37"/>
        <v>-</v>
      </c>
      <c r="CL30" s="148">
        <f t="shared" si="38"/>
        <v>-0.17213631784723352</v>
      </c>
      <c r="CM30" s="148">
        <f t="shared" si="39"/>
        <v>-0.17213631784723352</v>
      </c>
      <c r="CN30" s="148">
        <f t="shared" si="40"/>
        <v>0.07737096299125654</v>
      </c>
      <c r="CO30" s="148">
        <f t="shared" si="41"/>
        <v>0.3067616912364985</v>
      </c>
      <c r="CP30" s="148">
        <f t="shared" si="42"/>
        <v>0.15605164910284297</v>
      </c>
      <c r="CQ30" s="148">
        <f t="shared" si="43"/>
        <v>0.15605164910284297</v>
      </c>
      <c r="CR30" s="149">
        <f t="shared" si="44"/>
        <v>9.398281609734246</v>
      </c>
      <c r="CS30" s="72">
        <f t="shared" si="45"/>
        <v>-902150.45</v>
      </c>
      <c r="CT30" s="76">
        <f t="shared" si="77"/>
        <v>707686.2</v>
      </c>
      <c r="CU30" s="76">
        <f t="shared" si="78"/>
        <v>611695.2</v>
      </c>
      <c r="CV30" s="76">
        <f t="shared" si="79"/>
        <v>-95991</v>
      </c>
      <c r="CW30" s="76">
        <f t="shared" si="80"/>
        <v>0</v>
      </c>
      <c r="CX30" s="76">
        <f t="shared" si="81"/>
        <v>-95991</v>
      </c>
      <c r="CY30" s="76">
        <f t="shared" si="82"/>
        <v>-223909.65</v>
      </c>
      <c r="CZ30" s="76">
        <f t="shared" si="83"/>
        <v>0</v>
      </c>
      <c r="DA30" s="76">
        <f t="shared" si="84"/>
        <v>127918.65</v>
      </c>
      <c r="DB30" s="76">
        <f t="shared" si="85"/>
        <v>-95991</v>
      </c>
      <c r="DC30" s="76">
        <f t="shared" si="86"/>
        <v>-127918.65</v>
      </c>
      <c r="DD30" s="76">
        <f t="shared" si="87"/>
        <v>-223909.65</v>
      </c>
      <c r="DE30" s="76">
        <f t="shared" si="88"/>
        <v>192658.75</v>
      </c>
      <c r="DF30" s="76">
        <f t="shared" si="89"/>
        <v>-2255.376125</v>
      </c>
      <c r="DG30" s="76">
        <f t="shared" si="90"/>
        <v>107.86387500000001</v>
      </c>
      <c r="DH30" s="76">
        <f t="shared" si="91"/>
        <v>481.646875</v>
      </c>
      <c r="DI30" s="77">
        <f t="shared" si="92"/>
        <v>0</v>
      </c>
      <c r="DJ30" s="72">
        <f t="shared" si="93"/>
        <v>-239.9775</v>
      </c>
      <c r="DK30" s="151">
        <f t="shared" si="46"/>
        <v>-902150.4500000001</v>
      </c>
      <c r="DL30" s="136">
        <v>13</v>
      </c>
      <c r="DM30" s="136">
        <v>42</v>
      </c>
      <c r="DN30" s="65">
        <v>0</v>
      </c>
    </row>
    <row r="31" spans="1:118" ht="13.5" thickBot="1">
      <c r="A31" s="51" t="s">
        <v>20</v>
      </c>
      <c r="B31" s="45">
        <v>283</v>
      </c>
      <c r="C31" s="7">
        <v>956624</v>
      </c>
      <c r="D31" s="67">
        <v>3380.3</v>
      </c>
      <c r="E31" s="67">
        <v>98.03</v>
      </c>
      <c r="F31" s="125">
        <v>10</v>
      </c>
      <c r="G31" s="129">
        <v>334801.15</v>
      </c>
      <c r="H31" s="41">
        <v>76950.55</v>
      </c>
      <c r="I31" s="41">
        <v>2999.45</v>
      </c>
      <c r="J31" s="41">
        <v>0</v>
      </c>
      <c r="K31" s="41">
        <v>1297.9</v>
      </c>
      <c r="L31" s="41">
        <v>0</v>
      </c>
      <c r="M31" s="41">
        <f t="shared" si="0"/>
        <v>1297.9</v>
      </c>
      <c r="N31" s="41">
        <v>0</v>
      </c>
      <c r="O31" s="41">
        <v>89007.15</v>
      </c>
      <c r="P31" s="41">
        <v>387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f t="shared" si="59"/>
        <v>0</v>
      </c>
      <c r="X31" s="41">
        <v>21500</v>
      </c>
      <c r="Y31" s="41">
        <f t="shared" si="60"/>
        <v>526943.2000000001</v>
      </c>
      <c r="Z31" s="41">
        <v>296688.05</v>
      </c>
      <c r="AA31" s="41">
        <v>3254.55</v>
      </c>
      <c r="AB31" s="41">
        <v>0</v>
      </c>
      <c r="AC31" s="41">
        <v>0</v>
      </c>
      <c r="AD31" s="41">
        <v>0</v>
      </c>
      <c r="AE31" s="41">
        <f t="shared" si="61"/>
        <v>299942.6</v>
      </c>
      <c r="AF31" s="41">
        <v>0</v>
      </c>
      <c r="AG31" s="41">
        <v>408.05</v>
      </c>
      <c r="AH31" s="41">
        <v>0</v>
      </c>
      <c r="AI31" s="41">
        <v>44718.55</v>
      </c>
      <c r="AJ31" s="41">
        <v>0</v>
      </c>
      <c r="AK31" s="41">
        <v>0</v>
      </c>
      <c r="AL31" s="41">
        <v>156053.6</v>
      </c>
      <c r="AM31" s="41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2"/>
        <v>0</v>
      </c>
      <c r="AT31" s="4">
        <v>21500</v>
      </c>
      <c r="AU31" s="4">
        <f t="shared" si="63"/>
        <v>522622.80000000005</v>
      </c>
      <c r="AV31" s="4">
        <v>0</v>
      </c>
      <c r="AW31" s="4">
        <v>4320.4</v>
      </c>
      <c r="AX31" s="4">
        <f t="shared" si="64"/>
        <v>2.3646862246096134E-11</v>
      </c>
      <c r="AY31" s="41">
        <v>0</v>
      </c>
      <c r="AZ31" s="41">
        <v>10297.9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5"/>
        <v>10297.9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f t="shared" si="66"/>
        <v>0</v>
      </c>
      <c r="BP31" s="41">
        <v>0</v>
      </c>
      <c r="BQ31" s="41">
        <v>0</v>
      </c>
      <c r="BR31" s="41">
        <v>10297.9</v>
      </c>
      <c r="BS31" s="41">
        <f t="shared" si="67"/>
        <v>0</v>
      </c>
      <c r="BT31" s="4">
        <v>329931.2</v>
      </c>
      <c r="BU31" s="4">
        <v>9000</v>
      </c>
      <c r="BV31" s="4">
        <v>0</v>
      </c>
      <c r="BW31" s="4">
        <v>0</v>
      </c>
      <c r="BX31" s="4">
        <f t="shared" si="69"/>
        <v>338931.2</v>
      </c>
      <c r="BY31" s="4">
        <v>262485.1</v>
      </c>
      <c r="BZ31" s="4">
        <v>20000</v>
      </c>
      <c r="CA31" s="4">
        <v>56446.1</v>
      </c>
      <c r="CB31" s="4">
        <f t="shared" si="70"/>
        <v>338931.19999999995</v>
      </c>
      <c r="CC31" s="4">
        <f t="shared" si="71"/>
        <v>0</v>
      </c>
      <c r="CD31" s="70">
        <f t="shared" si="72"/>
        <v>-3022.4999999999995</v>
      </c>
      <c r="CE31" s="72">
        <f t="shared" si="73"/>
        <v>-3022.4999999999995</v>
      </c>
      <c r="CF31" s="72">
        <f t="shared" si="74"/>
        <v>10297.9</v>
      </c>
      <c r="CG31" s="72">
        <f t="shared" si="35"/>
        <v>501122.80000000005</v>
      </c>
      <c r="CH31" s="72">
        <f t="shared" si="75"/>
        <v>2591.3999999999996</v>
      </c>
      <c r="CI31" s="35">
        <f t="shared" si="76"/>
        <v>3889.2999999999997</v>
      </c>
      <c r="CJ31" s="57">
        <f t="shared" si="36"/>
        <v>-0.2935064430612066</v>
      </c>
      <c r="CK31" s="57">
        <f t="shared" si="37"/>
        <v>-0.2935064430612066</v>
      </c>
      <c r="CL31" s="148">
        <f t="shared" si="38"/>
        <v>-0.006031455762938743</v>
      </c>
      <c r="CM31" s="148">
        <f t="shared" si="39"/>
        <v>-0.006031455762938743</v>
      </c>
      <c r="CN31" s="148">
        <f t="shared" si="40"/>
        <v>0.005171187581167728</v>
      </c>
      <c r="CO31" s="148">
        <f t="shared" si="41"/>
        <v>0.007761171513249845</v>
      </c>
      <c r="CP31" s="148">
        <f t="shared" si="42"/>
        <v>0.126035405276804</v>
      </c>
      <c r="CQ31" s="148">
        <f t="shared" si="43"/>
        <v>0.126035405276804</v>
      </c>
      <c r="CR31" s="149">
        <f t="shared" si="44"/>
        <v>-22.314673283705556</v>
      </c>
      <c r="CS31" s="72">
        <f t="shared" si="45"/>
        <v>67446.10000000003</v>
      </c>
      <c r="CT31" s="76">
        <f t="shared" si="77"/>
        <v>525645.3</v>
      </c>
      <c r="CU31" s="76">
        <f t="shared" si="78"/>
        <v>522622.80000000005</v>
      </c>
      <c r="CV31" s="76">
        <f t="shared" si="79"/>
        <v>-3022.5</v>
      </c>
      <c r="CW31" s="76">
        <f t="shared" si="80"/>
        <v>0</v>
      </c>
      <c r="CX31" s="76">
        <f t="shared" si="81"/>
        <v>-3022.5</v>
      </c>
      <c r="CY31" s="76">
        <f t="shared" si="82"/>
        <v>-4320.4</v>
      </c>
      <c r="CZ31" s="76">
        <f t="shared" si="83"/>
        <v>10297.9</v>
      </c>
      <c r="DA31" s="76">
        <f t="shared" si="84"/>
        <v>1297.9</v>
      </c>
      <c r="DB31" s="76">
        <f t="shared" si="85"/>
        <v>-13320.4</v>
      </c>
      <c r="DC31" s="76">
        <f t="shared" si="86"/>
        <v>-1297.9</v>
      </c>
      <c r="DD31" s="76">
        <f t="shared" si="87"/>
        <v>-4320.4</v>
      </c>
      <c r="DE31" s="76">
        <f t="shared" si="88"/>
        <v>299942.6</v>
      </c>
      <c r="DF31" s="76">
        <f t="shared" si="89"/>
        <v>238.3254416961132</v>
      </c>
      <c r="DG31" s="76">
        <f t="shared" si="90"/>
        <v>9.156890459363956</v>
      </c>
      <c r="DH31" s="76">
        <f t="shared" si="91"/>
        <v>1059.8678445229682</v>
      </c>
      <c r="DI31" s="77">
        <f t="shared" si="92"/>
        <v>36.38833922261484</v>
      </c>
      <c r="DJ31" s="72">
        <f t="shared" si="93"/>
        <v>-47.068551236749116</v>
      </c>
      <c r="DK31" s="151">
        <f t="shared" si="46"/>
        <v>47446.1</v>
      </c>
      <c r="DL31" s="72">
        <v>10</v>
      </c>
      <c r="DM31" s="72">
        <v>37</v>
      </c>
      <c r="DN31" s="63">
        <v>0</v>
      </c>
    </row>
    <row r="32" spans="1:118" ht="12" customHeight="1">
      <c r="A32" s="29" t="s">
        <v>70</v>
      </c>
      <c r="B32" s="23">
        <f aca="true" t="shared" si="102" ref="B32:G32">SUM(B3:B31)</f>
        <v>38305</v>
      </c>
      <c r="C32" s="23">
        <f t="shared" si="102"/>
        <v>132077817</v>
      </c>
      <c r="D32" s="24">
        <f t="shared" si="102"/>
        <v>86001.40000000001</v>
      </c>
      <c r="E32" s="24">
        <f t="shared" si="102"/>
        <v>2494.1700000000005</v>
      </c>
      <c r="F32" s="114">
        <f t="shared" si="102"/>
        <v>329</v>
      </c>
      <c r="G32" s="116">
        <f t="shared" si="102"/>
        <v>33227397.999999996</v>
      </c>
      <c r="H32" s="117">
        <f aca="true" t="shared" si="103" ref="H32:AN32">SUM(H3:H31)</f>
        <v>6383688.370000001</v>
      </c>
      <c r="I32" s="117">
        <f t="shared" si="103"/>
        <v>2130772.5</v>
      </c>
      <c r="J32" s="117">
        <f t="shared" si="103"/>
        <v>42499.99999999999</v>
      </c>
      <c r="K32" s="117">
        <f t="shared" si="103"/>
        <v>3510696.35</v>
      </c>
      <c r="L32" s="117">
        <f t="shared" si="103"/>
        <v>743541.95</v>
      </c>
      <c r="M32" s="117">
        <f t="shared" si="103"/>
        <v>4254238.300000001</v>
      </c>
      <c r="N32" s="117">
        <f t="shared" si="103"/>
        <v>0</v>
      </c>
      <c r="O32" s="117">
        <f t="shared" si="103"/>
        <v>7544124.450000001</v>
      </c>
      <c r="P32" s="117">
        <f t="shared" si="103"/>
        <v>82802.20000000001</v>
      </c>
      <c r="Q32" s="117">
        <f t="shared" si="103"/>
        <v>3000</v>
      </c>
      <c r="R32" s="117">
        <f t="shared" si="103"/>
        <v>0</v>
      </c>
      <c r="S32" s="117">
        <f t="shared" si="103"/>
        <v>79072.55</v>
      </c>
      <c r="T32" s="117">
        <f t="shared" si="103"/>
        <v>515570</v>
      </c>
      <c r="U32" s="117">
        <f t="shared" si="103"/>
        <v>0</v>
      </c>
      <c r="V32" s="117">
        <f t="shared" si="103"/>
        <v>0</v>
      </c>
      <c r="W32" s="117">
        <f t="shared" si="103"/>
        <v>594642.55</v>
      </c>
      <c r="X32" s="117">
        <f t="shared" si="103"/>
        <v>4670465.8</v>
      </c>
      <c r="Y32" s="117">
        <f t="shared" si="103"/>
        <v>58933632.17</v>
      </c>
      <c r="Z32" s="117">
        <f t="shared" si="103"/>
        <v>16571371.450000001</v>
      </c>
      <c r="AA32" s="117">
        <f t="shared" si="103"/>
        <v>3228841.7500000005</v>
      </c>
      <c r="AB32" s="117">
        <f t="shared" si="103"/>
        <v>95089.55</v>
      </c>
      <c r="AC32" s="117">
        <f t="shared" si="103"/>
        <v>970295.6500000001</v>
      </c>
      <c r="AD32" s="117">
        <f t="shared" si="103"/>
        <v>0</v>
      </c>
      <c r="AE32" s="117">
        <f t="shared" si="103"/>
        <v>20865598.400000002</v>
      </c>
      <c r="AF32" s="117">
        <f t="shared" si="103"/>
        <v>0</v>
      </c>
      <c r="AG32" s="117">
        <f t="shared" si="103"/>
        <v>337236.44999999995</v>
      </c>
      <c r="AH32" s="117">
        <f t="shared" si="103"/>
        <v>0</v>
      </c>
      <c r="AI32" s="117">
        <f t="shared" si="103"/>
        <v>982013.85</v>
      </c>
      <c r="AJ32" s="117">
        <f t="shared" si="103"/>
        <v>13334562.5</v>
      </c>
      <c r="AK32" s="117">
        <f t="shared" si="103"/>
        <v>3236937.75</v>
      </c>
      <c r="AL32" s="117">
        <f t="shared" si="103"/>
        <v>14784452.4</v>
      </c>
      <c r="AM32" s="117">
        <f t="shared" si="103"/>
        <v>61.75</v>
      </c>
      <c r="AN32" s="117">
        <f t="shared" si="103"/>
        <v>0</v>
      </c>
      <c r="AO32" s="117">
        <f aca="true" t="shared" si="104" ref="AO32:BT32">SUM(AO3:AO31)</f>
        <v>0</v>
      </c>
      <c r="AP32" s="117">
        <f t="shared" si="104"/>
        <v>0</v>
      </c>
      <c r="AQ32" s="117">
        <f t="shared" si="104"/>
        <v>4366.65</v>
      </c>
      <c r="AR32" s="117">
        <f t="shared" si="104"/>
        <v>30000</v>
      </c>
      <c r="AS32" s="117">
        <f t="shared" si="104"/>
        <v>34366.65</v>
      </c>
      <c r="AT32" s="117">
        <f t="shared" si="104"/>
        <v>4950313.95</v>
      </c>
      <c r="AU32" s="117">
        <f t="shared" si="104"/>
        <v>58525543.699999996</v>
      </c>
      <c r="AV32" s="117">
        <f t="shared" si="104"/>
        <v>1609654.1800000002</v>
      </c>
      <c r="AW32" s="117">
        <f t="shared" si="104"/>
        <v>2017742.6499999997</v>
      </c>
      <c r="AX32" s="117">
        <f t="shared" si="104"/>
        <v>-1.7071215552277863E-09</v>
      </c>
      <c r="AY32" s="117">
        <f t="shared" si="104"/>
        <v>31247.45</v>
      </c>
      <c r="AZ32" s="117">
        <f t="shared" si="104"/>
        <v>547298.85</v>
      </c>
      <c r="BA32" s="117">
        <f t="shared" si="104"/>
        <v>0</v>
      </c>
      <c r="BB32" s="117">
        <f t="shared" si="104"/>
        <v>0</v>
      </c>
      <c r="BC32" s="117">
        <f t="shared" si="104"/>
        <v>0</v>
      </c>
      <c r="BD32" s="117">
        <f t="shared" si="104"/>
        <v>2479</v>
      </c>
      <c r="BE32" s="117">
        <f t="shared" si="104"/>
        <v>32667</v>
      </c>
      <c r="BF32" s="117">
        <f t="shared" si="104"/>
        <v>582444.85</v>
      </c>
      <c r="BG32" s="117">
        <f t="shared" si="104"/>
        <v>46495.4</v>
      </c>
      <c r="BH32" s="117">
        <f t="shared" si="104"/>
        <v>0</v>
      </c>
      <c r="BI32" s="117">
        <f t="shared" si="104"/>
        <v>3835</v>
      </c>
      <c r="BJ32" s="117">
        <f t="shared" si="104"/>
        <v>0</v>
      </c>
      <c r="BK32" s="117">
        <f t="shared" si="104"/>
        <v>3000</v>
      </c>
      <c r="BL32" s="117">
        <f t="shared" si="104"/>
        <v>0</v>
      </c>
      <c r="BM32" s="117">
        <f t="shared" si="104"/>
        <v>28929.65</v>
      </c>
      <c r="BN32" s="117">
        <f t="shared" si="104"/>
        <v>0</v>
      </c>
      <c r="BO32" s="117">
        <f t="shared" si="104"/>
        <v>82260.05</v>
      </c>
      <c r="BP32" s="117">
        <f t="shared" si="104"/>
        <v>82260.05</v>
      </c>
      <c r="BQ32" s="117">
        <f t="shared" si="104"/>
        <v>0</v>
      </c>
      <c r="BR32" s="117">
        <f t="shared" si="104"/>
        <v>582444.85</v>
      </c>
      <c r="BS32" s="117">
        <f t="shared" si="104"/>
        <v>0</v>
      </c>
      <c r="BT32" s="117">
        <f t="shared" si="104"/>
        <v>39255765.69</v>
      </c>
      <c r="BU32" s="117">
        <f aca="true" t="shared" si="105" ref="BU32:DA32">SUM(BU3:BU31)</f>
        <v>35928679.69999999</v>
      </c>
      <c r="BV32" s="117">
        <f t="shared" si="105"/>
        <v>0</v>
      </c>
      <c r="BW32" s="117">
        <f t="shared" si="105"/>
        <v>2673872.9899999998</v>
      </c>
      <c r="BX32" s="117">
        <f t="shared" si="105"/>
        <v>77858318.38000001</v>
      </c>
      <c r="BY32" s="117">
        <f t="shared" si="105"/>
        <v>73163179.96999998</v>
      </c>
      <c r="BZ32" s="117">
        <f t="shared" si="105"/>
        <v>1273568.95</v>
      </c>
      <c r="CA32" s="117">
        <f t="shared" si="105"/>
        <v>3421569.4600000004</v>
      </c>
      <c r="CB32" s="117">
        <f t="shared" si="105"/>
        <v>77858318.38000001</v>
      </c>
      <c r="CC32" s="117">
        <f t="shared" si="105"/>
        <v>0</v>
      </c>
      <c r="CD32" s="117">
        <f t="shared" si="105"/>
        <v>3846149.8300000005</v>
      </c>
      <c r="CE32" s="117">
        <f t="shared" si="105"/>
        <v>4406425.7299999995</v>
      </c>
      <c r="CF32" s="117">
        <f t="shared" si="105"/>
        <v>500184.8</v>
      </c>
      <c r="CG32" s="117">
        <f t="shared" si="105"/>
        <v>53540801.35000001</v>
      </c>
      <c r="CH32" s="117">
        <f t="shared" si="105"/>
        <v>1824783.5000000002</v>
      </c>
      <c r="CI32" s="117">
        <f t="shared" si="105"/>
        <v>5335479.850000001</v>
      </c>
      <c r="CJ32" s="118">
        <f t="shared" si="105"/>
        <v>47.91608144173099</v>
      </c>
      <c r="CK32" s="118">
        <f t="shared" si="105"/>
        <v>47.91608144173099</v>
      </c>
      <c r="CL32" s="118">
        <f t="shared" si="105"/>
        <v>0.13206423712403323</v>
      </c>
      <c r="CM32" s="118">
        <f t="shared" si="105"/>
        <v>0.3981218534394886</v>
      </c>
      <c r="CN32" s="118">
        <f t="shared" si="105"/>
        <v>0.8604843617167955</v>
      </c>
      <c r="CO32" s="118">
        <f t="shared" si="105"/>
        <v>2.701841990109277</v>
      </c>
      <c r="CP32" s="118">
        <f t="shared" si="105"/>
        <v>4.105991296228397</v>
      </c>
      <c r="CQ32" s="118">
        <f t="shared" si="105"/>
        <v>3.7908283897120194</v>
      </c>
      <c r="CR32" s="117">
        <f t="shared" si="105"/>
        <v>-374.63110098520315</v>
      </c>
      <c r="CS32" s="117">
        <f t="shared" si="105"/>
        <v>-33907414.279999994</v>
      </c>
      <c r="CT32" s="117">
        <f t="shared" si="105"/>
        <v>54679393.87</v>
      </c>
      <c r="CU32" s="117">
        <f t="shared" si="105"/>
        <v>58495543.699999996</v>
      </c>
      <c r="CV32" s="117">
        <f t="shared" si="105"/>
        <v>3816149.8300000024</v>
      </c>
      <c r="CW32" s="117">
        <f t="shared" si="105"/>
        <v>30000</v>
      </c>
      <c r="CX32" s="117">
        <f t="shared" si="105"/>
        <v>3846149.8300000024</v>
      </c>
      <c r="CY32" s="117">
        <f t="shared" si="105"/>
        <v>-408088.4699999979</v>
      </c>
      <c r="CZ32" s="117">
        <f t="shared" si="105"/>
        <v>500184.8</v>
      </c>
      <c r="DA32" s="117">
        <f t="shared" si="105"/>
        <v>4254238.300000001</v>
      </c>
      <c r="DB32" s="117">
        <f aca="true" t="shared" si="106" ref="DB32:DN32">SUM(DB3:DB31)</f>
        <v>3345965.030000002</v>
      </c>
      <c r="DC32" s="117">
        <f t="shared" si="106"/>
        <v>-4336498.350000001</v>
      </c>
      <c r="DD32" s="117">
        <f t="shared" si="106"/>
        <v>-408088.4699999979</v>
      </c>
      <c r="DE32" s="117">
        <f t="shared" si="106"/>
        <v>19895302.75</v>
      </c>
      <c r="DF32" s="117">
        <f t="shared" si="106"/>
        <v>-24046.84284550552</v>
      </c>
      <c r="DG32" s="117">
        <f t="shared" si="106"/>
        <v>1295.2770093255676</v>
      </c>
      <c r="DH32" s="117">
        <f t="shared" si="106"/>
        <v>12004.794539456734</v>
      </c>
      <c r="DI32" s="117">
        <f t="shared" si="106"/>
        <v>402.5340205773001</v>
      </c>
      <c r="DJ32" s="117">
        <f t="shared" si="106"/>
        <v>-318.8455838634447</v>
      </c>
      <c r="DK32" s="117">
        <f t="shared" si="106"/>
        <v>-35180983.230000004</v>
      </c>
      <c r="DL32" s="117">
        <f t="shared" si="106"/>
        <v>616</v>
      </c>
      <c r="DM32" s="138">
        <f t="shared" si="106"/>
        <v>2779</v>
      </c>
      <c r="DN32" s="119">
        <f t="shared" si="106"/>
        <v>0</v>
      </c>
    </row>
    <row r="33" spans="1:118" ht="12.75">
      <c r="A33" s="29" t="s">
        <v>47</v>
      </c>
      <c r="B33" s="23">
        <f aca="true" t="shared" si="107" ref="B33:G33">MIN(B3:B31)</f>
        <v>167</v>
      </c>
      <c r="C33" s="23">
        <f t="shared" si="107"/>
        <v>349229</v>
      </c>
      <c r="D33" s="24">
        <f t="shared" si="107"/>
        <v>1640.32</v>
      </c>
      <c r="E33" s="24">
        <f t="shared" si="107"/>
        <v>47.57</v>
      </c>
      <c r="F33" s="114">
        <f t="shared" si="107"/>
        <v>8</v>
      </c>
      <c r="G33" s="120">
        <f t="shared" si="107"/>
        <v>0</v>
      </c>
      <c r="H33" s="23">
        <f aca="true" t="shared" si="108" ref="H33:BT33">MIN(H3:H31)</f>
        <v>0</v>
      </c>
      <c r="I33" s="23">
        <f t="shared" si="108"/>
        <v>0</v>
      </c>
      <c r="J33" s="23">
        <f t="shared" si="108"/>
        <v>0</v>
      </c>
      <c r="K33" s="23">
        <f t="shared" si="108"/>
        <v>0</v>
      </c>
      <c r="L33" s="23">
        <f t="shared" si="108"/>
        <v>0</v>
      </c>
      <c r="M33" s="23">
        <f t="shared" si="108"/>
        <v>0</v>
      </c>
      <c r="N33" s="23">
        <f t="shared" si="108"/>
        <v>0</v>
      </c>
      <c r="O33" s="23">
        <f t="shared" si="108"/>
        <v>0</v>
      </c>
      <c r="P33" s="23">
        <f t="shared" si="108"/>
        <v>0</v>
      </c>
      <c r="Q33" s="23">
        <f t="shared" si="108"/>
        <v>0</v>
      </c>
      <c r="R33" s="23">
        <f t="shared" si="108"/>
        <v>0</v>
      </c>
      <c r="S33" s="23">
        <f t="shared" si="108"/>
        <v>0</v>
      </c>
      <c r="T33" s="23">
        <f t="shared" si="108"/>
        <v>0</v>
      </c>
      <c r="U33" s="23">
        <f t="shared" si="108"/>
        <v>0</v>
      </c>
      <c r="V33" s="23">
        <f t="shared" si="108"/>
        <v>0</v>
      </c>
      <c r="W33" s="23">
        <f t="shared" si="108"/>
        <v>0</v>
      </c>
      <c r="X33" s="23">
        <f t="shared" si="108"/>
        <v>0</v>
      </c>
      <c r="Y33" s="23">
        <f t="shared" si="108"/>
        <v>0</v>
      </c>
      <c r="Z33" s="23">
        <f t="shared" si="108"/>
        <v>0</v>
      </c>
      <c r="AA33" s="23">
        <f t="shared" si="108"/>
        <v>0</v>
      </c>
      <c r="AB33" s="23">
        <f t="shared" si="108"/>
        <v>0</v>
      </c>
      <c r="AC33" s="23">
        <f>MIN(AC3:AC31)</f>
        <v>0</v>
      </c>
      <c r="AD33" s="23">
        <f t="shared" si="108"/>
        <v>0</v>
      </c>
      <c r="AE33" s="23">
        <f t="shared" si="108"/>
        <v>0</v>
      </c>
      <c r="AF33" s="23">
        <f t="shared" si="108"/>
        <v>0</v>
      </c>
      <c r="AG33" s="23">
        <f t="shared" si="108"/>
        <v>0</v>
      </c>
      <c r="AH33" s="23">
        <f t="shared" si="108"/>
        <v>0</v>
      </c>
      <c r="AI33" s="23">
        <f t="shared" si="108"/>
        <v>0</v>
      </c>
      <c r="AJ33" s="23">
        <f t="shared" si="108"/>
        <v>0</v>
      </c>
      <c r="AK33" s="23">
        <f t="shared" si="108"/>
        <v>0</v>
      </c>
      <c r="AL33" s="23">
        <f t="shared" si="108"/>
        <v>0</v>
      </c>
      <c r="AM33" s="23">
        <f t="shared" si="108"/>
        <v>0</v>
      </c>
      <c r="AN33" s="23">
        <f t="shared" si="108"/>
        <v>0</v>
      </c>
      <c r="AO33" s="23">
        <f t="shared" si="108"/>
        <v>0</v>
      </c>
      <c r="AP33" s="23">
        <f t="shared" si="108"/>
        <v>0</v>
      </c>
      <c r="AQ33" s="23">
        <f t="shared" si="108"/>
        <v>0</v>
      </c>
      <c r="AR33" s="23">
        <f t="shared" si="108"/>
        <v>0</v>
      </c>
      <c r="AS33" s="23">
        <f t="shared" si="108"/>
        <v>0</v>
      </c>
      <c r="AT33" s="23">
        <f t="shared" si="108"/>
        <v>0</v>
      </c>
      <c r="AU33" s="23">
        <f t="shared" si="108"/>
        <v>0</v>
      </c>
      <c r="AV33" s="23">
        <f t="shared" si="108"/>
        <v>0</v>
      </c>
      <c r="AW33" s="23">
        <f t="shared" si="108"/>
        <v>0</v>
      </c>
      <c r="AX33" s="23">
        <f t="shared" si="108"/>
        <v>-3.026798367500305E-09</v>
      </c>
      <c r="AY33" s="23">
        <f t="shared" si="108"/>
        <v>0</v>
      </c>
      <c r="AZ33" s="23">
        <f t="shared" si="108"/>
        <v>0</v>
      </c>
      <c r="BA33" s="23">
        <f t="shared" si="108"/>
        <v>0</v>
      </c>
      <c r="BB33" s="23">
        <f t="shared" si="108"/>
        <v>0</v>
      </c>
      <c r="BC33" s="23">
        <f t="shared" si="108"/>
        <v>0</v>
      </c>
      <c r="BD33" s="23">
        <f t="shared" si="108"/>
        <v>0</v>
      </c>
      <c r="BE33" s="23">
        <f t="shared" si="108"/>
        <v>0</v>
      </c>
      <c r="BF33" s="23">
        <f t="shared" si="108"/>
        <v>0</v>
      </c>
      <c r="BG33" s="23">
        <f t="shared" si="108"/>
        <v>0</v>
      </c>
      <c r="BH33" s="23">
        <f t="shared" si="108"/>
        <v>0</v>
      </c>
      <c r="BI33" s="23">
        <f t="shared" si="108"/>
        <v>0</v>
      </c>
      <c r="BJ33" s="23">
        <f t="shared" si="108"/>
        <v>0</v>
      </c>
      <c r="BK33" s="23">
        <f t="shared" si="108"/>
        <v>0</v>
      </c>
      <c r="BL33" s="23">
        <f t="shared" si="108"/>
        <v>0</v>
      </c>
      <c r="BM33" s="23">
        <f t="shared" si="108"/>
        <v>0</v>
      </c>
      <c r="BN33" s="23">
        <f t="shared" si="108"/>
        <v>0</v>
      </c>
      <c r="BO33" s="23">
        <f t="shared" si="108"/>
        <v>0</v>
      </c>
      <c r="BP33" s="23">
        <f t="shared" si="108"/>
        <v>0</v>
      </c>
      <c r="BQ33" s="23">
        <f t="shared" si="108"/>
        <v>0</v>
      </c>
      <c r="BR33" s="23">
        <f t="shared" si="108"/>
        <v>0</v>
      </c>
      <c r="BS33" s="23">
        <f t="shared" si="108"/>
        <v>0</v>
      </c>
      <c r="BT33" s="23">
        <f t="shared" si="108"/>
        <v>0</v>
      </c>
      <c r="BU33" s="23">
        <f aca="true" t="shared" si="109" ref="BU33:DL33">MIN(BU3:BU31)</f>
        <v>0</v>
      </c>
      <c r="BV33" s="23">
        <f t="shared" si="109"/>
        <v>0</v>
      </c>
      <c r="BW33" s="23">
        <f t="shared" si="109"/>
        <v>0</v>
      </c>
      <c r="BX33" s="23">
        <f t="shared" si="109"/>
        <v>0</v>
      </c>
      <c r="BY33" s="23">
        <f t="shared" si="109"/>
        <v>0</v>
      </c>
      <c r="BZ33" s="23">
        <f t="shared" si="109"/>
        <v>0</v>
      </c>
      <c r="CA33" s="23">
        <f t="shared" si="109"/>
        <v>0</v>
      </c>
      <c r="CB33" s="23">
        <f t="shared" si="109"/>
        <v>0</v>
      </c>
      <c r="CC33" s="23">
        <f t="shared" si="109"/>
        <v>0</v>
      </c>
      <c r="CD33" s="23">
        <f t="shared" si="109"/>
        <v>-188332</v>
      </c>
      <c r="CE33" s="23">
        <f t="shared" si="109"/>
        <v>-188332</v>
      </c>
      <c r="CF33" s="23">
        <f t="shared" si="109"/>
        <v>0</v>
      </c>
      <c r="CG33" s="23">
        <f t="shared" si="109"/>
        <v>0</v>
      </c>
      <c r="CH33" s="23">
        <f t="shared" si="109"/>
        <v>0</v>
      </c>
      <c r="CI33" s="23">
        <f t="shared" si="109"/>
        <v>0</v>
      </c>
      <c r="CJ33" s="89">
        <f t="shared" si="109"/>
        <v>-0.2935064430612066</v>
      </c>
      <c r="CK33" s="89">
        <f t="shared" si="109"/>
        <v>-0.2935064430612066</v>
      </c>
      <c r="CL33" s="89">
        <f t="shared" si="109"/>
        <v>-0.27018667401197055</v>
      </c>
      <c r="CM33" s="89">
        <f t="shared" si="109"/>
        <v>-0.27018667401197055</v>
      </c>
      <c r="CN33" s="89">
        <f t="shared" si="109"/>
        <v>0.003845404227922506</v>
      </c>
      <c r="CO33" s="89">
        <f t="shared" si="109"/>
        <v>0.003845404227922506</v>
      </c>
      <c r="CP33" s="89">
        <f t="shared" si="109"/>
        <v>0</v>
      </c>
      <c r="CQ33" s="89">
        <f t="shared" si="109"/>
        <v>0</v>
      </c>
      <c r="CR33" s="23">
        <f t="shared" si="109"/>
        <v>-305.3038861136275</v>
      </c>
      <c r="CS33" s="23">
        <f t="shared" si="109"/>
        <v>-6429715.054778989</v>
      </c>
      <c r="CT33" s="23">
        <f t="shared" si="109"/>
        <v>0</v>
      </c>
      <c r="CU33" s="23">
        <f t="shared" si="109"/>
        <v>0</v>
      </c>
      <c r="CV33" s="23">
        <f t="shared" si="109"/>
        <v>-188332</v>
      </c>
      <c r="CW33" s="23">
        <f t="shared" si="109"/>
        <v>0</v>
      </c>
      <c r="CX33" s="23">
        <f t="shared" si="109"/>
        <v>-188332</v>
      </c>
      <c r="CY33" s="23">
        <f t="shared" si="109"/>
        <v>-335360.15</v>
      </c>
      <c r="CZ33" s="23">
        <f t="shared" si="109"/>
        <v>0</v>
      </c>
      <c r="DA33" s="23">
        <f t="shared" si="109"/>
        <v>0</v>
      </c>
      <c r="DB33" s="23">
        <f t="shared" si="109"/>
        <v>-188332</v>
      </c>
      <c r="DC33" s="23">
        <f t="shared" si="109"/>
        <v>-870005.4</v>
      </c>
      <c r="DD33" s="23">
        <f t="shared" si="109"/>
        <v>-335360.15</v>
      </c>
      <c r="DE33" s="23">
        <f t="shared" si="109"/>
        <v>0</v>
      </c>
      <c r="DF33" s="23">
        <f t="shared" si="109"/>
        <v>-3124.3689855072457</v>
      </c>
      <c r="DG33" s="23">
        <f t="shared" si="109"/>
        <v>0</v>
      </c>
      <c r="DH33" s="23">
        <f t="shared" si="109"/>
        <v>0</v>
      </c>
      <c r="DI33" s="23">
        <f t="shared" si="109"/>
        <v>0</v>
      </c>
      <c r="DJ33" s="23">
        <f t="shared" si="109"/>
        <v>-465.5866161616163</v>
      </c>
      <c r="DK33" s="23">
        <f>MIN(DK3:DK31)</f>
        <v>-6429715.054778988</v>
      </c>
      <c r="DL33" s="23">
        <f t="shared" si="109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10" ref="B34:G34">MAX(B3:B31)</f>
        <v>5636</v>
      </c>
      <c r="C34" s="23">
        <f t="shared" si="110"/>
        <v>22193324</v>
      </c>
      <c r="D34" s="24">
        <f t="shared" si="110"/>
        <v>7015.89</v>
      </c>
      <c r="E34" s="24">
        <f t="shared" si="110"/>
        <v>203.47</v>
      </c>
      <c r="F34" s="114">
        <f t="shared" si="110"/>
        <v>14</v>
      </c>
      <c r="G34" s="120">
        <f t="shared" si="110"/>
        <v>4764814.5</v>
      </c>
      <c r="H34" s="23">
        <f aca="true" t="shared" si="111" ref="H34:BT34">MAX(H3:H31)</f>
        <v>974770.82</v>
      </c>
      <c r="I34" s="23">
        <f t="shared" si="111"/>
        <v>361321.95</v>
      </c>
      <c r="J34" s="23">
        <f t="shared" si="111"/>
        <v>38361.62716207559</v>
      </c>
      <c r="K34" s="23">
        <f t="shared" si="111"/>
        <v>556592.684657271</v>
      </c>
      <c r="L34" s="23">
        <f t="shared" si="111"/>
        <v>560180</v>
      </c>
      <c r="M34" s="23">
        <f t="shared" si="111"/>
        <v>815715</v>
      </c>
      <c r="N34" s="23">
        <f t="shared" si="111"/>
        <v>0</v>
      </c>
      <c r="O34" s="23">
        <f t="shared" si="111"/>
        <v>1607407.148046124</v>
      </c>
      <c r="P34" s="23">
        <f t="shared" si="111"/>
        <v>31187.5</v>
      </c>
      <c r="Q34" s="23">
        <f t="shared" si="111"/>
        <v>3000</v>
      </c>
      <c r="R34" s="23">
        <f t="shared" si="111"/>
        <v>0</v>
      </c>
      <c r="S34" s="23">
        <f t="shared" si="111"/>
        <v>79072.55</v>
      </c>
      <c r="T34" s="23">
        <f t="shared" si="111"/>
        <v>415570</v>
      </c>
      <c r="U34" s="23">
        <f t="shared" si="111"/>
        <v>0</v>
      </c>
      <c r="V34" s="23">
        <f t="shared" si="111"/>
        <v>0</v>
      </c>
      <c r="W34" s="23">
        <f t="shared" si="111"/>
        <v>415570</v>
      </c>
      <c r="X34" s="23">
        <f t="shared" si="111"/>
        <v>1557375.7</v>
      </c>
      <c r="Y34" s="23">
        <f t="shared" si="111"/>
        <v>8385286.32</v>
      </c>
      <c r="Z34" s="23">
        <f t="shared" si="111"/>
        <v>3496657.8026905833</v>
      </c>
      <c r="AA34" s="23">
        <f t="shared" si="111"/>
        <v>1159419</v>
      </c>
      <c r="AB34" s="23">
        <f t="shared" si="111"/>
        <v>63729.55</v>
      </c>
      <c r="AC34" s="23">
        <f>MAX(AC3:AC31)</f>
        <v>201026.05</v>
      </c>
      <c r="AD34" s="23">
        <f t="shared" si="111"/>
        <v>0</v>
      </c>
      <c r="AE34" s="23">
        <f t="shared" si="111"/>
        <v>3912909.9803971816</v>
      </c>
      <c r="AF34" s="23">
        <f t="shared" si="111"/>
        <v>0</v>
      </c>
      <c r="AG34" s="23">
        <f t="shared" si="111"/>
        <v>211850.0099615631</v>
      </c>
      <c r="AH34" s="23">
        <f t="shared" si="111"/>
        <v>0</v>
      </c>
      <c r="AI34" s="23">
        <f t="shared" si="111"/>
        <v>226762.39298526585</v>
      </c>
      <c r="AJ34" s="23">
        <f t="shared" si="111"/>
        <v>2076427</v>
      </c>
      <c r="AK34" s="23">
        <f t="shared" si="111"/>
        <v>582352.3</v>
      </c>
      <c r="AL34" s="23">
        <f t="shared" si="111"/>
        <v>2318294.15</v>
      </c>
      <c r="AM34" s="23">
        <f t="shared" si="111"/>
        <v>61.75</v>
      </c>
      <c r="AN34" s="23">
        <f t="shared" si="111"/>
        <v>0</v>
      </c>
      <c r="AO34" s="23">
        <f t="shared" si="111"/>
        <v>0</v>
      </c>
      <c r="AP34" s="23">
        <f t="shared" si="111"/>
        <v>0</v>
      </c>
      <c r="AQ34" s="23">
        <f t="shared" si="111"/>
        <v>4366.65</v>
      </c>
      <c r="AR34" s="23">
        <f t="shared" si="111"/>
        <v>30000</v>
      </c>
      <c r="AS34" s="23">
        <f t="shared" si="111"/>
        <v>30000</v>
      </c>
      <c r="AT34" s="23">
        <f t="shared" si="111"/>
        <v>1557375.7</v>
      </c>
      <c r="AU34" s="23">
        <f t="shared" si="111"/>
        <v>8720857.9</v>
      </c>
      <c r="AV34" s="23">
        <f t="shared" si="111"/>
        <v>992166</v>
      </c>
      <c r="AW34" s="23">
        <f t="shared" si="111"/>
        <v>335360.15</v>
      </c>
      <c r="AX34" s="23">
        <f t="shared" si="111"/>
        <v>1.4151737559586763E-09</v>
      </c>
      <c r="AY34" s="23">
        <f t="shared" si="111"/>
        <v>31247.45</v>
      </c>
      <c r="AZ34" s="23">
        <f t="shared" si="111"/>
        <v>244743.9</v>
      </c>
      <c r="BA34" s="23">
        <f t="shared" si="111"/>
        <v>0</v>
      </c>
      <c r="BB34" s="23">
        <f t="shared" si="111"/>
        <v>0</v>
      </c>
      <c r="BC34" s="23">
        <f t="shared" si="111"/>
        <v>0</v>
      </c>
      <c r="BD34" s="23">
        <f t="shared" si="111"/>
        <v>2479</v>
      </c>
      <c r="BE34" s="23">
        <f t="shared" si="111"/>
        <v>32667</v>
      </c>
      <c r="BF34" s="23">
        <f t="shared" si="111"/>
        <v>244743.9</v>
      </c>
      <c r="BG34" s="23">
        <f t="shared" si="111"/>
        <v>46495.4</v>
      </c>
      <c r="BH34" s="23">
        <f t="shared" si="111"/>
        <v>0</v>
      </c>
      <c r="BI34" s="23">
        <f t="shared" si="111"/>
        <v>3835</v>
      </c>
      <c r="BJ34" s="23">
        <f t="shared" si="111"/>
        <v>0</v>
      </c>
      <c r="BK34" s="23">
        <f t="shared" si="111"/>
        <v>3000</v>
      </c>
      <c r="BL34" s="23">
        <f t="shared" si="111"/>
        <v>0</v>
      </c>
      <c r="BM34" s="23">
        <f t="shared" si="111"/>
        <v>25246.14788597053</v>
      </c>
      <c r="BN34" s="23">
        <f t="shared" si="111"/>
        <v>0</v>
      </c>
      <c r="BO34" s="23">
        <f t="shared" si="111"/>
        <v>54290.4</v>
      </c>
      <c r="BP34" s="23">
        <f t="shared" si="111"/>
        <v>54290.4</v>
      </c>
      <c r="BQ34" s="23">
        <f t="shared" si="111"/>
        <v>0</v>
      </c>
      <c r="BR34" s="23">
        <f t="shared" si="111"/>
        <v>244743.9</v>
      </c>
      <c r="BS34" s="23">
        <f t="shared" si="111"/>
        <v>0</v>
      </c>
      <c r="BT34" s="23">
        <f t="shared" si="111"/>
        <v>9818062.467841126</v>
      </c>
      <c r="BU34" s="23">
        <f aca="true" t="shared" si="112" ref="BU34:DL34">MAX(BU3:BU31)</f>
        <v>7058410.5027546445</v>
      </c>
      <c r="BV34" s="23">
        <f t="shared" si="112"/>
        <v>0</v>
      </c>
      <c r="BW34" s="23">
        <f t="shared" si="112"/>
        <v>955196.22</v>
      </c>
      <c r="BX34" s="23">
        <f t="shared" si="112"/>
        <v>16876472.97059577</v>
      </c>
      <c r="BY34" s="23">
        <f t="shared" si="112"/>
        <v>16247777.522620115</v>
      </c>
      <c r="BZ34" s="23">
        <f t="shared" si="112"/>
        <v>771568.95</v>
      </c>
      <c r="CA34" s="23">
        <f t="shared" si="112"/>
        <v>836809.75</v>
      </c>
      <c r="CB34" s="23">
        <f t="shared" si="112"/>
        <v>16876472.970595773</v>
      </c>
      <c r="CC34" s="23">
        <f t="shared" si="112"/>
        <v>0</v>
      </c>
      <c r="CD34" s="23">
        <f t="shared" si="112"/>
        <v>1754101.1</v>
      </c>
      <c r="CE34" s="23">
        <f t="shared" si="112"/>
        <v>1754101.1</v>
      </c>
      <c r="CF34" s="23">
        <f t="shared" si="112"/>
        <v>244743.9</v>
      </c>
      <c r="CG34" s="23">
        <f t="shared" si="112"/>
        <v>7409048.15</v>
      </c>
      <c r="CH34" s="23">
        <f t="shared" si="112"/>
        <v>353682.75</v>
      </c>
      <c r="CI34" s="23">
        <f t="shared" si="112"/>
        <v>775462.6000000001</v>
      </c>
      <c r="CJ34" s="89">
        <f t="shared" si="112"/>
        <v>29.29360554442218</v>
      </c>
      <c r="CK34" s="89">
        <f t="shared" si="112"/>
        <v>29.29360554442218</v>
      </c>
      <c r="CL34" s="89">
        <f t="shared" si="112"/>
        <v>0.23771849898532457</v>
      </c>
      <c r="CM34" s="89">
        <f t="shared" si="112"/>
        <v>0.23771849898532457</v>
      </c>
      <c r="CN34" s="89">
        <f t="shared" si="112"/>
        <v>0.10001438784349383</v>
      </c>
      <c r="CO34" s="89">
        <f t="shared" si="112"/>
        <v>0.3067616912364985</v>
      </c>
      <c r="CP34" s="89">
        <f t="shared" si="112"/>
        <v>1</v>
      </c>
      <c r="CQ34" s="89">
        <f t="shared" si="112"/>
        <v>1</v>
      </c>
      <c r="CR34" s="23">
        <f t="shared" si="112"/>
        <v>9.94343778027964</v>
      </c>
      <c r="CS34" s="23">
        <f t="shared" si="112"/>
        <v>212811.75</v>
      </c>
      <c r="CT34" s="23">
        <f t="shared" si="112"/>
        <v>7945286.32</v>
      </c>
      <c r="CU34" s="23">
        <f t="shared" si="112"/>
        <v>8720857.9</v>
      </c>
      <c r="CV34" s="23">
        <f t="shared" si="112"/>
        <v>1754101.0999999996</v>
      </c>
      <c r="CW34" s="23">
        <f t="shared" si="112"/>
        <v>30000</v>
      </c>
      <c r="CX34" s="23">
        <f t="shared" si="112"/>
        <v>1754101.0999999996</v>
      </c>
      <c r="CY34" s="23">
        <f t="shared" si="112"/>
        <v>938386.0999999996</v>
      </c>
      <c r="CZ34" s="23">
        <f t="shared" si="112"/>
        <v>244743.9</v>
      </c>
      <c r="DA34" s="23">
        <f t="shared" si="112"/>
        <v>815715</v>
      </c>
      <c r="DB34" s="23">
        <f t="shared" si="112"/>
        <v>1694221.0999999996</v>
      </c>
      <c r="DC34" s="23">
        <f t="shared" si="112"/>
        <v>0</v>
      </c>
      <c r="DD34" s="23">
        <f t="shared" si="112"/>
        <v>938386.0999999996</v>
      </c>
      <c r="DE34" s="23">
        <f t="shared" si="112"/>
        <v>3741732.547149264</v>
      </c>
      <c r="DF34" s="23">
        <f t="shared" si="112"/>
        <v>238.3254416961132</v>
      </c>
      <c r="DG34" s="23">
        <f t="shared" si="112"/>
        <v>122.84916637721432</v>
      </c>
      <c r="DH34" s="23">
        <f t="shared" si="112"/>
        <v>1059.8678445229682</v>
      </c>
      <c r="DI34" s="23">
        <f t="shared" si="112"/>
        <v>231.54578997161778</v>
      </c>
      <c r="DJ34" s="23">
        <f t="shared" si="112"/>
        <v>429.13401722391075</v>
      </c>
      <c r="DK34" s="23">
        <f>MAX(DK3:DK31)</f>
        <v>112811.75</v>
      </c>
      <c r="DL34" s="23">
        <f t="shared" si="112"/>
        <v>101</v>
      </c>
      <c r="DM34" s="24">
        <f>MAX(DM3:DM31)</f>
        <v>537</v>
      </c>
      <c r="DN34" s="25">
        <f>MAX(DN3:DN31)</f>
        <v>0</v>
      </c>
    </row>
    <row r="35" spans="1:118" ht="13.5" thickBot="1">
      <c r="A35" s="30" t="s">
        <v>49</v>
      </c>
      <c r="B35" s="26">
        <f aca="true" t="shared" si="113" ref="B35:G35">MEDIAN(B3:B31)</f>
        <v>608</v>
      </c>
      <c r="C35" s="26">
        <f t="shared" si="113"/>
        <v>1560210</v>
      </c>
      <c r="D35" s="27">
        <f t="shared" si="113"/>
        <v>2655.65</v>
      </c>
      <c r="E35" s="27">
        <f t="shared" si="113"/>
        <v>77.02</v>
      </c>
      <c r="F35" s="115">
        <f t="shared" si="113"/>
        <v>12</v>
      </c>
      <c r="G35" s="121">
        <f t="shared" si="113"/>
        <v>425592.9</v>
      </c>
      <c r="H35" s="26">
        <f aca="true" t="shared" si="114" ref="H35:BT35">MEDIAN(H3:H31)</f>
        <v>89649</v>
      </c>
      <c r="I35" s="26">
        <f t="shared" si="114"/>
        <v>34370.25</v>
      </c>
      <c r="J35" s="26">
        <f t="shared" si="114"/>
        <v>0</v>
      </c>
      <c r="K35" s="26">
        <f t="shared" si="114"/>
        <v>60044.06534272902</v>
      </c>
      <c r="L35" s="26">
        <f t="shared" si="114"/>
        <v>0</v>
      </c>
      <c r="M35" s="26">
        <f t="shared" si="114"/>
        <v>60044.06534272902</v>
      </c>
      <c r="N35" s="26">
        <f t="shared" si="114"/>
        <v>0</v>
      </c>
      <c r="O35" s="26">
        <f t="shared" si="114"/>
        <v>173403.7519538757</v>
      </c>
      <c r="P35" s="26">
        <f t="shared" si="114"/>
        <v>0</v>
      </c>
      <c r="Q35" s="26">
        <f t="shared" si="114"/>
        <v>0</v>
      </c>
      <c r="R35" s="26">
        <f t="shared" si="114"/>
        <v>0</v>
      </c>
      <c r="S35" s="26">
        <f t="shared" si="114"/>
        <v>0</v>
      </c>
      <c r="T35" s="26">
        <f t="shared" si="114"/>
        <v>0</v>
      </c>
      <c r="U35" s="26">
        <f t="shared" si="114"/>
        <v>0</v>
      </c>
      <c r="V35" s="26">
        <f t="shared" si="114"/>
        <v>0</v>
      </c>
      <c r="W35" s="26">
        <f t="shared" si="114"/>
        <v>0</v>
      </c>
      <c r="X35" s="26">
        <f t="shared" si="114"/>
        <v>0</v>
      </c>
      <c r="Y35" s="26">
        <f t="shared" si="114"/>
        <v>936793.9155622616</v>
      </c>
      <c r="Z35" s="26">
        <f t="shared" si="114"/>
        <v>192658.75</v>
      </c>
      <c r="AA35" s="26">
        <f t="shared" si="114"/>
        <v>18866.55</v>
      </c>
      <c r="AB35" s="26">
        <f t="shared" si="114"/>
        <v>0</v>
      </c>
      <c r="AC35" s="26">
        <f>MEDIAN(AC3:AC31)</f>
        <v>8299.4</v>
      </c>
      <c r="AD35" s="26">
        <f t="shared" si="114"/>
        <v>0</v>
      </c>
      <c r="AE35" s="26">
        <f t="shared" si="114"/>
        <v>259931.35</v>
      </c>
      <c r="AF35" s="26">
        <f t="shared" si="114"/>
        <v>0</v>
      </c>
      <c r="AG35" s="26">
        <f t="shared" si="114"/>
        <v>886.35</v>
      </c>
      <c r="AH35" s="26">
        <f t="shared" si="114"/>
        <v>0</v>
      </c>
      <c r="AI35" s="26">
        <f t="shared" si="114"/>
        <v>12284.8</v>
      </c>
      <c r="AJ35" s="26">
        <f t="shared" si="114"/>
        <v>177869</v>
      </c>
      <c r="AK35" s="26">
        <f t="shared" si="114"/>
        <v>500</v>
      </c>
      <c r="AL35" s="26">
        <f t="shared" si="114"/>
        <v>228391.80616019442</v>
      </c>
      <c r="AM35" s="26">
        <f t="shared" si="114"/>
        <v>0</v>
      </c>
      <c r="AN35" s="26">
        <f t="shared" si="114"/>
        <v>0</v>
      </c>
      <c r="AO35" s="26">
        <f t="shared" si="114"/>
        <v>0</v>
      </c>
      <c r="AP35" s="26">
        <f t="shared" si="114"/>
        <v>0</v>
      </c>
      <c r="AQ35" s="26">
        <f t="shared" si="114"/>
        <v>0</v>
      </c>
      <c r="AR35" s="26">
        <f t="shared" si="114"/>
        <v>0</v>
      </c>
      <c r="AS35" s="26">
        <f t="shared" si="114"/>
        <v>0</v>
      </c>
      <c r="AT35" s="26">
        <f t="shared" si="114"/>
        <v>0</v>
      </c>
      <c r="AU35" s="26">
        <f t="shared" si="114"/>
        <v>752421.6155622615</v>
      </c>
      <c r="AV35" s="26">
        <f t="shared" si="114"/>
        <v>0</v>
      </c>
      <c r="AW35" s="26">
        <f t="shared" si="114"/>
        <v>0</v>
      </c>
      <c r="AX35" s="26">
        <f t="shared" si="114"/>
        <v>0</v>
      </c>
      <c r="AY35" s="26">
        <f t="shared" si="114"/>
        <v>0</v>
      </c>
      <c r="AZ35" s="26">
        <f t="shared" si="114"/>
        <v>0</v>
      </c>
      <c r="BA35" s="26">
        <f t="shared" si="114"/>
        <v>0</v>
      </c>
      <c r="BB35" s="26">
        <f t="shared" si="114"/>
        <v>0</v>
      </c>
      <c r="BC35" s="26">
        <f t="shared" si="114"/>
        <v>0</v>
      </c>
      <c r="BD35" s="26">
        <f t="shared" si="114"/>
        <v>0</v>
      </c>
      <c r="BE35" s="26">
        <f t="shared" si="114"/>
        <v>0</v>
      </c>
      <c r="BF35" s="26">
        <f t="shared" si="114"/>
        <v>0</v>
      </c>
      <c r="BG35" s="26">
        <f t="shared" si="114"/>
        <v>0</v>
      </c>
      <c r="BH35" s="26">
        <f t="shared" si="114"/>
        <v>0</v>
      </c>
      <c r="BI35" s="26">
        <f t="shared" si="114"/>
        <v>0</v>
      </c>
      <c r="BJ35" s="26">
        <f t="shared" si="114"/>
        <v>0</v>
      </c>
      <c r="BK35" s="26">
        <f t="shared" si="114"/>
        <v>0</v>
      </c>
      <c r="BL35" s="26">
        <f t="shared" si="114"/>
        <v>0</v>
      </c>
      <c r="BM35" s="26">
        <f t="shared" si="114"/>
        <v>0</v>
      </c>
      <c r="BN35" s="26">
        <f t="shared" si="114"/>
        <v>0</v>
      </c>
      <c r="BO35" s="26">
        <f t="shared" si="114"/>
        <v>0</v>
      </c>
      <c r="BP35" s="26">
        <f t="shared" si="114"/>
        <v>0</v>
      </c>
      <c r="BQ35" s="26">
        <f t="shared" si="114"/>
        <v>0</v>
      </c>
      <c r="BR35" s="26">
        <f t="shared" si="114"/>
        <v>0</v>
      </c>
      <c r="BS35" s="26">
        <f t="shared" si="114"/>
        <v>0</v>
      </c>
      <c r="BT35" s="26">
        <f t="shared" si="114"/>
        <v>666359</v>
      </c>
      <c r="BU35" s="26">
        <f aca="true" t="shared" si="115" ref="BU35:DL35">MEDIAN(BU3:BU31)</f>
        <v>675405.15</v>
      </c>
      <c r="BV35" s="26">
        <f t="shared" si="115"/>
        <v>0</v>
      </c>
      <c r="BW35" s="26">
        <f t="shared" si="115"/>
        <v>0</v>
      </c>
      <c r="BX35" s="26">
        <f t="shared" si="115"/>
        <v>1403121.95</v>
      </c>
      <c r="BY35" s="26">
        <f t="shared" si="115"/>
        <v>1295639.45</v>
      </c>
      <c r="BZ35" s="26">
        <f t="shared" si="115"/>
        <v>0</v>
      </c>
      <c r="CA35" s="26">
        <f t="shared" si="115"/>
        <v>26012.25</v>
      </c>
      <c r="CB35" s="26">
        <f t="shared" si="115"/>
        <v>1403121.95</v>
      </c>
      <c r="CC35" s="26">
        <f t="shared" si="115"/>
        <v>0</v>
      </c>
      <c r="CD35" s="26">
        <f t="shared" si="115"/>
        <v>0</v>
      </c>
      <c r="CE35" s="26">
        <f t="shared" si="115"/>
        <v>0</v>
      </c>
      <c r="CF35" s="26">
        <f t="shared" si="115"/>
        <v>0</v>
      </c>
      <c r="CG35" s="26">
        <f t="shared" si="115"/>
        <v>746604.9297420577</v>
      </c>
      <c r="CH35" s="26">
        <f t="shared" si="115"/>
        <v>27139.800000000003</v>
      </c>
      <c r="CI35" s="26">
        <f t="shared" si="115"/>
        <v>103447.2</v>
      </c>
      <c r="CJ35" s="90">
        <f t="shared" si="115"/>
        <v>5.433780536939356</v>
      </c>
      <c r="CK35" s="90">
        <f t="shared" si="115"/>
        <v>5.433780536939356</v>
      </c>
      <c r="CL35" s="90">
        <f t="shared" si="115"/>
        <v>0.03431958148891758</v>
      </c>
      <c r="CM35" s="90">
        <f t="shared" si="115"/>
        <v>0.03504226924785154</v>
      </c>
      <c r="CN35" s="90">
        <f t="shared" si="115"/>
        <v>0.03010079183553944</v>
      </c>
      <c r="CO35" s="90">
        <f t="shared" si="115"/>
        <v>0.11173111326531396</v>
      </c>
      <c r="CP35" s="90">
        <f t="shared" si="115"/>
        <v>0.08033712726551549</v>
      </c>
      <c r="CQ35" s="90">
        <f t="shared" si="115"/>
        <v>0.07492622074098784</v>
      </c>
      <c r="CR35" s="26">
        <f t="shared" si="115"/>
        <v>-2.0304562917394446</v>
      </c>
      <c r="CS35" s="26">
        <f t="shared" si="115"/>
        <v>-693624.3352210124</v>
      </c>
      <c r="CT35" s="26">
        <f t="shared" si="115"/>
        <v>932750</v>
      </c>
      <c r="CU35" s="26">
        <f t="shared" si="115"/>
        <v>752421.6155622615</v>
      </c>
      <c r="CV35" s="26">
        <f t="shared" si="115"/>
        <v>0</v>
      </c>
      <c r="CW35" s="26">
        <f t="shared" si="115"/>
        <v>0</v>
      </c>
      <c r="CX35" s="26">
        <f t="shared" si="115"/>
        <v>0</v>
      </c>
      <c r="CY35" s="26">
        <f t="shared" si="115"/>
        <v>0</v>
      </c>
      <c r="CZ35" s="26">
        <f t="shared" si="115"/>
        <v>0</v>
      </c>
      <c r="DA35" s="26">
        <f t="shared" si="115"/>
        <v>60044.06534272902</v>
      </c>
      <c r="DB35" s="26">
        <f t="shared" si="115"/>
        <v>0</v>
      </c>
      <c r="DC35" s="26">
        <f t="shared" si="115"/>
        <v>-62767.567456758494</v>
      </c>
      <c r="DD35" s="26">
        <f t="shared" si="115"/>
        <v>0</v>
      </c>
      <c r="DE35" s="26">
        <f t="shared" si="115"/>
        <v>245150.85</v>
      </c>
      <c r="DF35" s="26">
        <f t="shared" si="115"/>
        <v>-478.15713019250245</v>
      </c>
      <c r="DG35" s="26">
        <f t="shared" si="115"/>
        <v>33.6354852621054</v>
      </c>
      <c r="DH35" s="26">
        <f t="shared" si="115"/>
        <v>367.47015999999996</v>
      </c>
      <c r="DI35" s="26">
        <f t="shared" si="115"/>
        <v>0</v>
      </c>
      <c r="DJ35" s="26">
        <f t="shared" si="115"/>
        <v>0</v>
      </c>
      <c r="DK35" s="26">
        <f>MEDIAN(DK3:DK31)</f>
        <v>-706229.7</v>
      </c>
      <c r="DL35" s="26">
        <f t="shared" si="115"/>
        <v>10</v>
      </c>
      <c r="DM35" s="27">
        <f>MEDIAN(DM3:DM31)</f>
        <v>37</v>
      </c>
      <c r="DN35" s="28">
        <f>MEDIAN(DN3:DN31)</f>
        <v>0</v>
      </c>
    </row>
    <row r="37" spans="1:119" s="9" customFormat="1" ht="12.75">
      <c r="A37" s="3" t="s">
        <v>249</v>
      </c>
      <c r="B37" s="16">
        <f>SUM(B3:B31)</f>
        <v>38305</v>
      </c>
      <c r="C37" s="16">
        <f aca="true" t="shared" si="116" ref="C37:BN37">SUM(C3:C31)</f>
        <v>132077817</v>
      </c>
      <c r="D37" s="16">
        <f>D35</f>
        <v>2655.65</v>
      </c>
      <c r="E37" s="150">
        <f>E35</f>
        <v>77.02</v>
      </c>
      <c r="F37" s="16">
        <f t="shared" si="116"/>
        <v>329</v>
      </c>
      <c r="G37" s="16">
        <f t="shared" si="116"/>
        <v>33227397.999999996</v>
      </c>
      <c r="H37" s="16">
        <f t="shared" si="116"/>
        <v>6383688.370000001</v>
      </c>
      <c r="I37" s="16">
        <f t="shared" si="116"/>
        <v>2130772.5</v>
      </c>
      <c r="J37" s="16">
        <f t="shared" si="116"/>
        <v>42499.99999999999</v>
      </c>
      <c r="K37" s="16">
        <f t="shared" si="116"/>
        <v>3510696.35</v>
      </c>
      <c r="L37" s="16">
        <f t="shared" si="116"/>
        <v>743541.95</v>
      </c>
      <c r="M37" s="16">
        <f t="shared" si="116"/>
        <v>4254238.300000001</v>
      </c>
      <c r="N37" s="16">
        <f t="shared" si="116"/>
        <v>0</v>
      </c>
      <c r="O37" s="16">
        <f t="shared" si="116"/>
        <v>7544124.450000001</v>
      </c>
      <c r="P37" s="16">
        <f t="shared" si="116"/>
        <v>82802.20000000001</v>
      </c>
      <c r="Q37" s="16">
        <f t="shared" si="116"/>
        <v>3000</v>
      </c>
      <c r="R37" s="16">
        <f t="shared" si="116"/>
        <v>0</v>
      </c>
      <c r="S37" s="16">
        <f t="shared" si="116"/>
        <v>79072.55</v>
      </c>
      <c r="T37" s="16">
        <f t="shared" si="116"/>
        <v>515570</v>
      </c>
      <c r="U37" s="16">
        <f t="shared" si="116"/>
        <v>0</v>
      </c>
      <c r="V37" s="16">
        <f t="shared" si="116"/>
        <v>0</v>
      </c>
      <c r="W37" s="16">
        <f t="shared" si="116"/>
        <v>594642.55</v>
      </c>
      <c r="X37" s="16">
        <f t="shared" si="116"/>
        <v>4670465.8</v>
      </c>
      <c r="Y37" s="16">
        <f t="shared" si="116"/>
        <v>58933632.17</v>
      </c>
      <c r="Z37" s="16">
        <f t="shared" si="116"/>
        <v>16571371.450000001</v>
      </c>
      <c r="AA37" s="16">
        <f t="shared" si="116"/>
        <v>3228841.7500000005</v>
      </c>
      <c r="AB37" s="16">
        <f t="shared" si="116"/>
        <v>95089.55</v>
      </c>
      <c r="AC37" s="16">
        <f t="shared" si="116"/>
        <v>970295.6500000001</v>
      </c>
      <c r="AD37" s="16">
        <f t="shared" si="116"/>
        <v>0</v>
      </c>
      <c r="AE37" s="16">
        <f t="shared" si="116"/>
        <v>20865598.400000002</v>
      </c>
      <c r="AF37" s="16">
        <f t="shared" si="116"/>
        <v>0</v>
      </c>
      <c r="AG37" s="16">
        <f t="shared" si="116"/>
        <v>337236.44999999995</v>
      </c>
      <c r="AH37" s="16">
        <f t="shared" si="116"/>
        <v>0</v>
      </c>
      <c r="AI37" s="16">
        <f t="shared" si="116"/>
        <v>982013.85</v>
      </c>
      <c r="AJ37" s="16">
        <f t="shared" si="116"/>
        <v>13334562.5</v>
      </c>
      <c r="AK37" s="16">
        <f t="shared" si="116"/>
        <v>3236937.75</v>
      </c>
      <c r="AL37" s="16">
        <f t="shared" si="116"/>
        <v>14784452.4</v>
      </c>
      <c r="AM37" s="16">
        <f t="shared" si="116"/>
        <v>61.75</v>
      </c>
      <c r="AN37" s="16">
        <f t="shared" si="116"/>
        <v>0</v>
      </c>
      <c r="AO37" s="16">
        <f t="shared" si="116"/>
        <v>0</v>
      </c>
      <c r="AP37" s="16">
        <f t="shared" si="116"/>
        <v>0</v>
      </c>
      <c r="AQ37" s="16">
        <f t="shared" si="116"/>
        <v>4366.65</v>
      </c>
      <c r="AR37" s="16">
        <f t="shared" si="116"/>
        <v>30000</v>
      </c>
      <c r="AS37" s="16">
        <f t="shared" si="116"/>
        <v>34366.65</v>
      </c>
      <c r="AT37" s="16">
        <f t="shared" si="116"/>
        <v>4950313.95</v>
      </c>
      <c r="AU37" s="16">
        <f t="shared" si="116"/>
        <v>58525543.699999996</v>
      </c>
      <c r="AV37" s="16">
        <f t="shared" si="116"/>
        <v>1609654.1800000002</v>
      </c>
      <c r="AW37" s="16">
        <f t="shared" si="116"/>
        <v>2017742.6499999997</v>
      </c>
      <c r="AX37" s="4">
        <f>Y37-AU37+AV37-AW37</f>
        <v>6.752088665962219E-09</v>
      </c>
      <c r="AY37" s="16">
        <f t="shared" si="116"/>
        <v>31247.45</v>
      </c>
      <c r="AZ37" s="16">
        <f t="shared" si="116"/>
        <v>547298.85</v>
      </c>
      <c r="BA37" s="16">
        <f t="shared" si="116"/>
        <v>0</v>
      </c>
      <c r="BB37" s="16">
        <f t="shared" si="116"/>
        <v>0</v>
      </c>
      <c r="BC37" s="16">
        <f t="shared" si="116"/>
        <v>0</v>
      </c>
      <c r="BD37" s="16">
        <f t="shared" si="116"/>
        <v>2479</v>
      </c>
      <c r="BE37" s="16">
        <f t="shared" si="116"/>
        <v>32667</v>
      </c>
      <c r="BF37" s="16">
        <f t="shared" si="116"/>
        <v>582444.85</v>
      </c>
      <c r="BG37" s="16">
        <f t="shared" si="116"/>
        <v>46495.4</v>
      </c>
      <c r="BH37" s="16">
        <f t="shared" si="116"/>
        <v>0</v>
      </c>
      <c r="BI37" s="16">
        <f t="shared" si="116"/>
        <v>3835</v>
      </c>
      <c r="BJ37" s="16">
        <f t="shared" si="116"/>
        <v>0</v>
      </c>
      <c r="BK37" s="16">
        <f t="shared" si="116"/>
        <v>3000</v>
      </c>
      <c r="BL37" s="16">
        <f t="shared" si="116"/>
        <v>0</v>
      </c>
      <c r="BM37" s="16">
        <f t="shared" si="116"/>
        <v>28929.65</v>
      </c>
      <c r="BN37" s="16">
        <f t="shared" si="116"/>
        <v>0</v>
      </c>
      <c r="BO37" s="16">
        <f>SUM(BO3:BO31)</f>
        <v>82260.05</v>
      </c>
      <c r="BP37" s="16">
        <f>SUM(BP3:BP31)</f>
        <v>82260.05</v>
      </c>
      <c r="BQ37" s="16">
        <f>SUM(BQ3:BQ31)</f>
        <v>0</v>
      </c>
      <c r="BR37" s="16">
        <f>SUM(BR3:BR31)</f>
        <v>582444.85</v>
      </c>
      <c r="BS37" s="41">
        <f>+BF37-BO37+BP37+BQ37-BR37</f>
        <v>0</v>
      </c>
      <c r="BT37" s="16">
        <f aca="true" t="shared" si="117" ref="BT37:CB37">SUM(BT3:BT31)</f>
        <v>39255765.69</v>
      </c>
      <c r="BU37" s="16">
        <f t="shared" si="117"/>
        <v>35928679.69999999</v>
      </c>
      <c r="BV37" s="16">
        <f t="shared" si="117"/>
        <v>0</v>
      </c>
      <c r="BW37" s="16">
        <f t="shared" si="117"/>
        <v>2673872.9899999998</v>
      </c>
      <c r="BX37" s="16">
        <f t="shared" si="117"/>
        <v>77858318.38000001</v>
      </c>
      <c r="BY37" s="16">
        <f t="shared" si="117"/>
        <v>73163179.96999998</v>
      </c>
      <c r="BZ37" s="16">
        <f t="shared" si="117"/>
        <v>1273568.95</v>
      </c>
      <c r="CA37" s="16">
        <f t="shared" si="117"/>
        <v>3421569.4600000004</v>
      </c>
      <c r="CB37" s="16">
        <f t="shared" si="117"/>
        <v>77858318.38000001</v>
      </c>
      <c r="CC37" s="4">
        <f>BX37-CB37</f>
        <v>0</v>
      </c>
      <c r="CD37" s="70">
        <f>K37+L37+AV37-AW37</f>
        <v>3846149.830000001</v>
      </c>
      <c r="CE37" s="72">
        <f>CD37+W37-AS37</f>
        <v>4406425.73</v>
      </c>
      <c r="CF37" s="72">
        <f>BR37-BP37</f>
        <v>500184.8</v>
      </c>
      <c r="CG37" s="72">
        <f>AU37-AM37-AT37-AS37</f>
        <v>53540801.349999994</v>
      </c>
      <c r="CH37" s="72">
        <f>I37-AG37+AY37+AH37+BQ37</f>
        <v>1824783.5</v>
      </c>
      <c r="CI37" s="35">
        <f>CH37+K37</f>
        <v>5335479.85</v>
      </c>
      <c r="CJ37" s="57">
        <f>CD37/CF37</f>
        <v>7.6894576364575675</v>
      </c>
      <c r="CK37" s="140">
        <f>CE37/CF37</f>
        <v>8.80959543352777</v>
      </c>
      <c r="CL37" s="62">
        <f>CD37/CG37*1</f>
        <v>0.07183586597550994</v>
      </c>
      <c r="CM37" s="62">
        <f>CE37/CG37</f>
        <v>0.08230033206254954</v>
      </c>
      <c r="CN37" s="62">
        <f>CH37/CG37</f>
        <v>0.034082110353023325</v>
      </c>
      <c r="CO37" s="62">
        <f>CI37/CG37</f>
        <v>0.09965259606634558</v>
      </c>
      <c r="CP37" s="62">
        <f>(K37+L37)/(BU37+K37+L37)</f>
        <v>0.10587181100187898</v>
      </c>
      <c r="CQ37" s="62">
        <f>(K37)/(BU37+K37+L37)</f>
        <v>0.08736787980405009</v>
      </c>
      <c r="CR37" s="71">
        <f>CS37/CE37</f>
        <v>-7.694992803157943</v>
      </c>
      <c r="CS37" s="72">
        <f>BT37-BY37</f>
        <v>-33907414.27999999</v>
      </c>
      <c r="CT37" s="76">
        <f>Y37-K37-L37-V37</f>
        <v>54679393.87</v>
      </c>
      <c r="CU37" s="76">
        <f>AU37-AR37</f>
        <v>58495543.699999996</v>
      </c>
      <c r="CV37" s="76">
        <f>CU37-CT37</f>
        <v>3816149.829999998</v>
      </c>
      <c r="CW37" s="76">
        <f>-V37+AR37</f>
        <v>30000</v>
      </c>
      <c r="CX37" s="76">
        <f>CV37+CW37</f>
        <v>3846149.829999998</v>
      </c>
      <c r="CY37" s="76">
        <f>CX37-K37-L37</f>
        <v>-408088.47000000183</v>
      </c>
      <c r="CZ37" s="76">
        <f>BR37-BP37</f>
        <v>500184.8</v>
      </c>
      <c r="DA37" s="76">
        <f>K37+L37</f>
        <v>4254238.3</v>
      </c>
      <c r="DB37" s="76">
        <f>-CZ37+DA37+CY37</f>
        <v>3345965.0299999984</v>
      </c>
      <c r="DC37" s="76">
        <f>-BP37-DA37</f>
        <v>-4336498.35</v>
      </c>
      <c r="DD37" s="76">
        <f>DB37+DC37+BR37</f>
        <v>-408088.47000000125</v>
      </c>
      <c r="DE37" s="76">
        <f>Z37+AA37+AB37</f>
        <v>19895302.750000004</v>
      </c>
      <c r="DF37" s="76">
        <f>CS37/B37</f>
        <v>-885.1955170343293</v>
      </c>
      <c r="DG37" s="76">
        <f>CH37/B37</f>
        <v>47.63825871296176</v>
      </c>
      <c r="DH37" s="76">
        <f>DE37/B37</f>
        <v>519.3917961101685</v>
      </c>
      <c r="DI37" s="77">
        <f>CZ37/B37</f>
        <v>13.057950659182874</v>
      </c>
      <c r="DJ37" s="72">
        <f>DB37/B37</f>
        <v>87.35060775355693</v>
      </c>
      <c r="DK37" s="151">
        <f>CA37-BW37-BU37</f>
        <v>-35180983.22999999</v>
      </c>
      <c r="DL37" s="136">
        <f>SUM(DL32)</f>
        <v>616</v>
      </c>
      <c r="DM37" s="136">
        <f>SUM(DM32)</f>
        <v>2779</v>
      </c>
      <c r="DN37" s="136"/>
      <c r="DO37" s="65"/>
    </row>
    <row r="40" spans="1:118" ht="12.75">
      <c r="A40" s="50" t="s">
        <v>13</v>
      </c>
      <c r="B40" s="39">
        <v>3948</v>
      </c>
      <c r="C40" s="4">
        <v>18979780</v>
      </c>
      <c r="D40" s="66">
        <v>4807.44</v>
      </c>
      <c r="E40" s="66">
        <v>139.42</v>
      </c>
      <c r="F40" s="8">
        <v>12</v>
      </c>
      <c r="G40" s="129">
        <v>4204969</v>
      </c>
      <c r="H40" s="41">
        <v>747885</v>
      </c>
      <c r="I40" s="41">
        <v>148217</v>
      </c>
      <c r="J40" s="41">
        <v>0</v>
      </c>
      <c r="K40" s="41">
        <v>251700</v>
      </c>
      <c r="L40" s="41">
        <v>560180</v>
      </c>
      <c r="M40" s="41">
        <f>SUM(K40:L40)</f>
        <v>811880</v>
      </c>
      <c r="N40" s="41">
        <v>0</v>
      </c>
      <c r="O40" s="41">
        <v>318711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1311748</v>
      </c>
      <c r="Y40" s="41">
        <f>SUM(G40:X40)-M40-W40</f>
        <v>7543410</v>
      </c>
      <c r="Z40" s="41">
        <v>1688102</v>
      </c>
      <c r="AA40" s="41">
        <v>1159419</v>
      </c>
      <c r="AB40" s="41">
        <v>0</v>
      </c>
      <c r="AC40" s="41">
        <v>151041</v>
      </c>
      <c r="AD40" s="41">
        <v>0</v>
      </c>
      <c r="AE40" s="41">
        <f>SUM(Z40:AD40)</f>
        <v>2998562</v>
      </c>
      <c r="AF40" s="41">
        <v>0</v>
      </c>
      <c r="AG40" s="41">
        <v>1782</v>
      </c>
      <c r="AH40" s="41">
        <v>0</v>
      </c>
      <c r="AI40" s="41">
        <v>47996</v>
      </c>
      <c r="AJ40" s="41">
        <v>1886959</v>
      </c>
      <c r="AK40" s="41">
        <v>384801</v>
      </c>
      <c r="AL40" s="41">
        <v>1903728</v>
      </c>
      <c r="AM40" s="41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1311748</v>
      </c>
      <c r="AU40" s="4">
        <f>SUM(Z40:AT40)-AE40-AH40-AS40</f>
        <v>8535576</v>
      </c>
      <c r="AV40" s="4">
        <v>992166</v>
      </c>
      <c r="AW40" s="4">
        <v>0</v>
      </c>
      <c r="AX40" s="4">
        <f>Y40-AU40+AV40-AW40</f>
        <v>0</v>
      </c>
      <c r="AY40" s="41">
        <v>0</v>
      </c>
      <c r="AZ40" s="41">
        <v>59880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f>SUM(AZ40:BE40)</f>
        <v>59880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f>SUM(BG40:BN40)</f>
        <v>0</v>
      </c>
      <c r="BP40" s="41">
        <v>0</v>
      </c>
      <c r="BQ40" s="41">
        <v>0</v>
      </c>
      <c r="BR40" s="41">
        <v>59880</v>
      </c>
      <c r="BS40" s="41">
        <f>+BF40-BO40+BP40+BQ40-BR40</f>
        <v>0</v>
      </c>
      <c r="BT40" s="4">
        <v>4843839</v>
      </c>
      <c r="BU40" s="4">
        <v>1850000</v>
      </c>
      <c r="BV40" s="4">
        <v>0</v>
      </c>
      <c r="BW40" s="4">
        <v>0</v>
      </c>
      <c r="BX40" s="4">
        <f>SUM(BT40:BW40)</f>
        <v>6693839</v>
      </c>
      <c r="BY40" s="4">
        <v>6675251</v>
      </c>
      <c r="BZ40" s="4">
        <v>0</v>
      </c>
      <c r="CA40" s="4">
        <v>18588</v>
      </c>
      <c r="CB40" s="4">
        <f>SUM(BY40:CA40)</f>
        <v>6693839</v>
      </c>
      <c r="CC40" s="4">
        <f>BX40-CB40</f>
        <v>0</v>
      </c>
      <c r="CD40" s="70">
        <f>K40+L40+AV40-AW40</f>
        <v>1804046</v>
      </c>
      <c r="CE40" s="72">
        <f>CD40+W40-AS40</f>
        <v>1804046</v>
      </c>
      <c r="CF40" s="72">
        <f>BR40-BP40</f>
        <v>59880</v>
      </c>
      <c r="CG40" s="72">
        <f>AU40-AM40-AT40-AS40</f>
        <v>7223828</v>
      </c>
      <c r="CH40" s="72">
        <f>I40-AG40+AY40+AH40+BQ40</f>
        <v>146435</v>
      </c>
      <c r="CI40" s="35">
        <f>CH40+K40</f>
        <v>398135</v>
      </c>
      <c r="CJ40" s="57">
        <f>IF(CF40=0,"-",(CD40/CF40))</f>
        <v>30.127688710754843</v>
      </c>
      <c r="CK40" s="57">
        <f>IF(CF40=0,"-",(CE40/CF40))</f>
        <v>30.127688710754843</v>
      </c>
      <c r="CL40" s="148">
        <f>IF(CG40=0,"-",(CD40/CG40*1))</f>
        <v>0.2497354588176795</v>
      </c>
      <c r="CM40" s="148">
        <f>IF(CE40=0,"-",(CE40/CG40))</f>
        <v>0.2497354588176795</v>
      </c>
      <c r="CN40" s="148">
        <f>IF(CG40=0,"-",(CH40/CG40))</f>
        <v>0.02027110833757393</v>
      </c>
      <c r="CO40" s="148">
        <f>IF(CG40=0,"-",(CI40/CG40))</f>
        <v>0.055114130624372565</v>
      </c>
      <c r="CP40" s="148">
        <f>IF(BU40+K40+L40=0,"-",((K40+L40)/(BU40+K40+L40)))</f>
        <v>0.3050024794506139</v>
      </c>
      <c r="CQ40" s="148">
        <f>IF(BU40+K40+L40=0,"-",((K40)/(BU40+K40+L40)))</f>
        <v>0.09455723022825972</v>
      </c>
      <c r="CR40" s="149">
        <f>IF(CE40=0,"-",(CS40/CE40))</f>
        <v>-1.0151692362611597</v>
      </c>
      <c r="CS40" s="72">
        <f>BT40-BY40</f>
        <v>-1831412</v>
      </c>
      <c r="CT40" s="76">
        <f>Y40-K40-L40-V40</f>
        <v>6731530</v>
      </c>
      <c r="CU40" s="76">
        <f>AU40-AR40</f>
        <v>8535576</v>
      </c>
      <c r="CV40" s="76">
        <f>CU40-CT40</f>
        <v>1804046</v>
      </c>
      <c r="CW40" s="76">
        <f>-V40+AR40</f>
        <v>0</v>
      </c>
      <c r="CX40" s="76">
        <f>CV40+CW40</f>
        <v>1804046</v>
      </c>
      <c r="CY40" s="76">
        <f>CX40-K40-L40</f>
        <v>992166</v>
      </c>
      <c r="CZ40" s="76">
        <f>BR40-BP40</f>
        <v>59880</v>
      </c>
      <c r="DA40" s="76">
        <f>K40+L40</f>
        <v>811880</v>
      </c>
      <c r="DB40" s="76">
        <f>-CZ40+DA40+CY40</f>
        <v>1744166</v>
      </c>
      <c r="DC40" s="76">
        <f>-BP40-DA40</f>
        <v>-811880</v>
      </c>
      <c r="DD40" s="76">
        <f>DB40+DC40+BR40</f>
        <v>992166</v>
      </c>
      <c r="DE40" s="76">
        <f>Z40+AA40+AB40</f>
        <v>2847521</v>
      </c>
      <c r="DF40" s="76">
        <f>CS40/B40</f>
        <v>-463.8834853090172</v>
      </c>
      <c r="DG40" s="76">
        <f>CH40/B40</f>
        <v>37.09093211752786</v>
      </c>
      <c r="DH40" s="76">
        <f>DE40/B40</f>
        <v>721.2565856129686</v>
      </c>
      <c r="DI40" s="77">
        <f>CZ40/B40</f>
        <v>15.167173252279635</v>
      </c>
      <c r="DJ40" s="72">
        <f>DB40/B40</f>
        <v>441.78470111448837</v>
      </c>
      <c r="DK40" s="151">
        <f>CA40-BW40-BU40</f>
        <v>-1831412</v>
      </c>
      <c r="DL40" s="72">
        <v>101</v>
      </c>
      <c r="DM40" s="72">
        <v>488</v>
      </c>
      <c r="DN40" s="63">
        <v>0</v>
      </c>
    </row>
    <row r="41" spans="1:118" ht="12.75">
      <c r="A41" s="50" t="s">
        <v>218</v>
      </c>
      <c r="B41" s="39">
        <v>3948</v>
      </c>
      <c r="C41" s="4">
        <v>18979780</v>
      </c>
      <c r="D41" s="66">
        <v>4807.44</v>
      </c>
      <c r="E41" s="66">
        <v>139.42</v>
      </c>
      <c r="F41" s="8">
        <v>16</v>
      </c>
      <c r="G41" s="129">
        <v>172235</v>
      </c>
      <c r="H41" s="41">
        <v>20208.3</v>
      </c>
      <c r="I41" s="41">
        <v>5702.7</v>
      </c>
      <c r="J41" s="41">
        <v>0</v>
      </c>
      <c r="K41" s="41">
        <v>3835</v>
      </c>
      <c r="L41" s="41">
        <v>0</v>
      </c>
      <c r="M41" s="41">
        <f>SUM(K41:L41)</f>
        <v>3835</v>
      </c>
      <c r="N41" s="41">
        <v>0</v>
      </c>
      <c r="O41" s="41">
        <v>32809.5</v>
      </c>
      <c r="P41" s="41">
        <v>1271.3</v>
      </c>
      <c r="Q41" s="41">
        <v>3000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239061.8</v>
      </c>
      <c r="Z41" s="41">
        <v>77334.4</v>
      </c>
      <c r="AA41" s="41">
        <v>0</v>
      </c>
      <c r="AB41" s="41">
        <v>29512</v>
      </c>
      <c r="AC41" s="41">
        <v>0</v>
      </c>
      <c r="AD41" s="41">
        <v>0</v>
      </c>
      <c r="AE41" s="41">
        <f>SUM(Z41:AD41)</f>
        <v>106846.4</v>
      </c>
      <c r="AF41" s="41">
        <v>0</v>
      </c>
      <c r="AG41" s="41">
        <v>139.5</v>
      </c>
      <c r="AH41" s="41">
        <v>0</v>
      </c>
      <c r="AI41" s="41">
        <v>0</v>
      </c>
      <c r="AJ41" s="41">
        <v>0</v>
      </c>
      <c r="AK41" s="41">
        <v>1780.5</v>
      </c>
      <c r="AL41" s="41">
        <v>76453.75</v>
      </c>
      <c r="AM41" s="41">
        <v>61.75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185281.9</v>
      </c>
      <c r="AV41" s="4">
        <v>0</v>
      </c>
      <c r="AW41" s="4">
        <v>53779.9</v>
      </c>
      <c r="AX41" s="4">
        <f>Y41-AU41+AV41-AW41</f>
        <v>0</v>
      </c>
      <c r="AY41" s="41">
        <v>0</v>
      </c>
      <c r="AZ41" s="41">
        <v>51811.4</v>
      </c>
      <c r="BA41" s="41">
        <v>0</v>
      </c>
      <c r="BB41" s="41">
        <v>0</v>
      </c>
      <c r="BC41" s="41">
        <v>0</v>
      </c>
      <c r="BD41" s="41">
        <v>2479</v>
      </c>
      <c r="BE41" s="41">
        <v>0</v>
      </c>
      <c r="BF41" s="41">
        <f>SUM(AZ41:BE41)</f>
        <v>54290.4</v>
      </c>
      <c r="BG41" s="41">
        <v>46495.4</v>
      </c>
      <c r="BH41" s="41">
        <v>0</v>
      </c>
      <c r="BI41" s="41">
        <v>3835</v>
      </c>
      <c r="BJ41" s="41">
        <v>0</v>
      </c>
      <c r="BK41" s="41">
        <v>3000</v>
      </c>
      <c r="BL41" s="41">
        <v>0</v>
      </c>
      <c r="BM41" s="41">
        <v>960</v>
      </c>
      <c r="BN41" s="41">
        <v>0</v>
      </c>
      <c r="BO41" s="41">
        <f>SUM(BG41:BN41)</f>
        <v>54290.4</v>
      </c>
      <c r="BP41" s="41">
        <v>54290.4</v>
      </c>
      <c r="BQ41" s="41">
        <v>0</v>
      </c>
      <c r="BR41" s="41">
        <v>54290.4</v>
      </c>
      <c r="BS41" s="41">
        <f>+BF41-BO41+BP41+BQ41-BR41</f>
        <v>0</v>
      </c>
      <c r="BT41" s="4">
        <v>0.5</v>
      </c>
      <c r="BU41" s="4">
        <v>9996.7</v>
      </c>
      <c r="BV41" s="4">
        <v>0</v>
      </c>
      <c r="BW41" s="4">
        <v>53779.9</v>
      </c>
      <c r="BX41" s="4">
        <f>SUM(BT41:BW41)</f>
        <v>63777.100000000006</v>
      </c>
      <c r="BY41" s="4">
        <v>56352.85</v>
      </c>
      <c r="BZ41" s="4">
        <v>0</v>
      </c>
      <c r="CA41" s="4">
        <v>7424.25</v>
      </c>
      <c r="CB41" s="4">
        <f>SUM(BY41:CA41)</f>
        <v>63777.1</v>
      </c>
      <c r="CC41" s="4">
        <f>BX41-CB41</f>
        <v>0</v>
      </c>
      <c r="CD41" s="70">
        <f>K41+L41+AV41-AW41</f>
        <v>-49944.9</v>
      </c>
      <c r="CE41" s="72">
        <f>CD41+W41-AS41</f>
        <v>-49944.9</v>
      </c>
      <c r="CF41" s="72">
        <f>BR41-BP41</f>
        <v>0</v>
      </c>
      <c r="CG41" s="72">
        <f>AU41-AM41-AT41-AS41</f>
        <v>185220.15</v>
      </c>
      <c r="CH41" s="72">
        <f>I41-AG41+AY41+AH41+BQ41</f>
        <v>5563.2</v>
      </c>
      <c r="CI41" s="35">
        <f>CH41+K41</f>
        <v>9398.2</v>
      </c>
      <c r="CJ41" s="57" t="str">
        <f>IF(CF41=0,"-",(CD41/CF41))</f>
        <v>-</v>
      </c>
      <c r="CK41" s="57" t="str">
        <f>IF(CF41=0,"-",(CE41/CF41))</f>
        <v>-</v>
      </c>
      <c r="CL41" s="148">
        <f>IF(CG41=0,"-",(CD41/CG41*1))</f>
        <v>-0.2696515470913937</v>
      </c>
      <c r="CM41" s="148">
        <f>IF(CE41=0,"-",(CE41/CG41))</f>
        <v>-0.2696515470913937</v>
      </c>
      <c r="CN41" s="148">
        <f>IF(CG41=0,"-",(CH41/CG41))</f>
        <v>0.030035608976669115</v>
      </c>
      <c r="CO41" s="148">
        <f>IF(CG41=0,"-",(CI41/CG41))</f>
        <v>0.05074069964849937</v>
      </c>
      <c r="CP41" s="148">
        <f>IF(BU41+K41+L41=0,"-",((K41+L41)/(BU41+K41+L41)))</f>
        <v>0.27726165258066615</v>
      </c>
      <c r="CQ41" s="148">
        <f>IF(BU41+K41+L41=0,"-",((K41)/(BU41+K41+L41)))</f>
        <v>0.27726165258066615</v>
      </c>
      <c r="CR41" s="149">
        <f>IF(CE41=0,"-",(CS41/CE41))</f>
        <v>1.1282903759943457</v>
      </c>
      <c r="CS41" s="72">
        <f>BT41-BY41</f>
        <v>-56352.35</v>
      </c>
      <c r="CT41" s="76">
        <f>Y41-K41-L41-V41</f>
        <v>235226.8</v>
      </c>
      <c r="CU41" s="76">
        <f>AU41-AR41</f>
        <v>185281.9</v>
      </c>
      <c r="CV41" s="76">
        <f>CU41-CT41</f>
        <v>-49944.899999999994</v>
      </c>
      <c r="CW41" s="76">
        <f>-V41+AR41</f>
        <v>0</v>
      </c>
      <c r="CX41" s="76">
        <f>CV41+CW41</f>
        <v>-49944.899999999994</v>
      </c>
      <c r="CY41" s="76">
        <f>CX41-K41-L41</f>
        <v>-53779.899999999994</v>
      </c>
      <c r="CZ41" s="76">
        <f>BR41-BP41</f>
        <v>0</v>
      </c>
      <c r="DA41" s="76">
        <f>K41+L41</f>
        <v>3835</v>
      </c>
      <c r="DB41" s="76">
        <f>-CZ41+DA41+CY41</f>
        <v>-49944.899999999994</v>
      </c>
      <c r="DC41" s="76">
        <f>-BP41-DA41</f>
        <v>-58125.4</v>
      </c>
      <c r="DD41" s="76">
        <f>DB41+DC41+BR41</f>
        <v>-53779.89999999999</v>
      </c>
      <c r="DE41" s="76">
        <f>Z41+AA41+AB41</f>
        <v>106846.4</v>
      </c>
      <c r="DF41" s="76">
        <f>CS41/B41</f>
        <v>-14.273644883485309</v>
      </c>
      <c r="DG41" s="76">
        <f>CH41/B41</f>
        <v>1.4091185410334346</v>
      </c>
      <c r="DH41" s="76">
        <f>DE41/B41</f>
        <v>27.063424518743666</v>
      </c>
      <c r="DI41" s="77">
        <f>CZ41/B41</f>
        <v>0</v>
      </c>
      <c r="DJ41" s="72">
        <f>DB41/B41</f>
        <v>-12.650683890577506</v>
      </c>
      <c r="DK41" s="151">
        <f>CA41-BW41-BU41</f>
        <v>-56352.350000000006</v>
      </c>
      <c r="DL41" s="72">
        <v>0</v>
      </c>
      <c r="DM41" s="72">
        <v>15</v>
      </c>
      <c r="DN41" s="63">
        <v>0</v>
      </c>
    </row>
    <row r="42" spans="1:118" ht="12.75">
      <c r="A42" s="3" t="s">
        <v>220</v>
      </c>
      <c r="B42" s="134">
        <f>B11+B27</f>
        <v>6244</v>
      </c>
      <c r="C42" s="146">
        <f>C11+C27</f>
        <v>23753534</v>
      </c>
      <c r="D42" s="145">
        <f>D11+D27</f>
        <v>6503.91</v>
      </c>
      <c r="E42" s="145">
        <f>((E11*B11)+(E27*B27))/B42</f>
        <v>110.32648302370276</v>
      </c>
      <c r="F42" s="146">
        <f>F11</f>
        <v>13</v>
      </c>
      <c r="G42" s="129">
        <v>4288160.05</v>
      </c>
      <c r="H42" s="41">
        <v>872803.1</v>
      </c>
      <c r="I42" s="41">
        <v>352790.65</v>
      </c>
      <c r="J42" s="41">
        <v>42500</v>
      </c>
      <c r="K42" s="41">
        <v>616636.75</v>
      </c>
      <c r="L42" s="41">
        <v>0</v>
      </c>
      <c r="M42" s="41">
        <f>SUM(K42:L42)</f>
        <v>616636.75</v>
      </c>
      <c r="N42" s="41">
        <v>0</v>
      </c>
      <c r="O42" s="41">
        <v>1780810.9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7953701.449999999</v>
      </c>
      <c r="Z42" s="41">
        <v>3873870</v>
      </c>
      <c r="AA42" s="41">
        <v>271512.9</v>
      </c>
      <c r="AB42" s="41">
        <v>0</v>
      </c>
      <c r="AC42" s="41">
        <v>189643.7</v>
      </c>
      <c r="AD42" s="41">
        <v>0</v>
      </c>
      <c r="AE42" s="41">
        <f>SUM(Z42:AD42)</f>
        <v>4335026.6</v>
      </c>
      <c r="AF42" s="41">
        <v>0</v>
      </c>
      <c r="AG42" s="41">
        <v>234703.95</v>
      </c>
      <c r="AH42" s="41">
        <v>0</v>
      </c>
      <c r="AI42" s="41">
        <v>251225.05</v>
      </c>
      <c r="AJ42" s="41">
        <v>1558287.5</v>
      </c>
      <c r="AK42" s="41">
        <v>66562.45</v>
      </c>
      <c r="AL42" s="41">
        <v>1665159.8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146424</v>
      </c>
      <c r="AU42" s="4">
        <f>SUM(Z42:AT42)-AE42-AH42-AS42</f>
        <v>8257389.35</v>
      </c>
      <c r="AV42" s="4">
        <v>303687.9</v>
      </c>
      <c r="AW42" s="4">
        <v>0</v>
      </c>
      <c r="AX42" s="4">
        <f>Y42-AU42+AV42-AW42</f>
        <v>-3.4924596548080444E-10</v>
      </c>
      <c r="AY42" s="41">
        <v>0</v>
      </c>
      <c r="AZ42" s="41">
        <v>180565.65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180565.65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27969.65</v>
      </c>
      <c r="BN42" s="41">
        <v>0</v>
      </c>
      <c r="BO42" s="41">
        <f>SUM(BG42:BN42)</f>
        <v>27969.65</v>
      </c>
      <c r="BP42" s="41">
        <v>27969.65</v>
      </c>
      <c r="BQ42" s="41">
        <v>0</v>
      </c>
      <c r="BR42" s="41">
        <v>180565.65</v>
      </c>
      <c r="BS42" s="41">
        <f>+BF42-BO42+BP42+BQ42-BR42</f>
        <v>0</v>
      </c>
      <c r="BT42" s="4">
        <v>10877214.7</v>
      </c>
      <c r="BU42" s="4">
        <v>7819857.2</v>
      </c>
      <c r="BV42" s="4">
        <v>0</v>
      </c>
      <c r="BW42" s="4">
        <v>0</v>
      </c>
      <c r="BX42" s="4">
        <f>SUM(BT42:BW42)</f>
        <v>18697071.9</v>
      </c>
      <c r="BY42" s="4">
        <v>18000554.09</v>
      </c>
      <c r="BZ42" s="4">
        <v>0</v>
      </c>
      <c r="CA42" s="4">
        <v>696517.81</v>
      </c>
      <c r="CB42" s="4">
        <f>SUM(BY42:CA42)</f>
        <v>18697071.9</v>
      </c>
      <c r="CC42" s="4">
        <f>BX42-CB42</f>
        <v>0</v>
      </c>
      <c r="CD42" s="70">
        <f>K42+L42+AV42-AW42</f>
        <v>920324.65</v>
      </c>
      <c r="CE42" s="72">
        <f>CD42+W42-AS42</f>
        <v>920324.65</v>
      </c>
      <c r="CF42" s="72">
        <f>BR42-BP42</f>
        <v>152596</v>
      </c>
      <c r="CG42" s="72">
        <f>AU42-AM42-AT42-AS42</f>
        <v>8110965.35</v>
      </c>
      <c r="CH42" s="72">
        <f>I42-AG42+AY42+AH42+BQ42</f>
        <v>118086.70000000001</v>
      </c>
      <c r="CI42" s="35">
        <f>CH42+K42</f>
        <v>734723.45</v>
      </c>
      <c r="CJ42" s="57">
        <f>IF(CF42=0,"-",(CD42/CF42))</f>
        <v>6.0311190987968235</v>
      </c>
      <c r="CK42" s="57">
        <f>IF(CF42=0,"-",(CE42/CF42))</f>
        <v>6.0311190987968235</v>
      </c>
      <c r="CL42" s="148">
        <f>IF(CG42=0,"-",(CD42/CG42*1))</f>
        <v>0.11346672193587908</v>
      </c>
      <c r="CM42" s="148">
        <f>IF(CE42=0,"-",(CE42/CG42))</f>
        <v>0.11346672193587908</v>
      </c>
      <c r="CN42" s="148">
        <f>IF(CG42=0,"-",(CH42/CG42))</f>
        <v>0.014558895877911747</v>
      </c>
      <c r="CO42" s="148">
        <f>IF(CG42=0,"-",(CI42/CG42))</f>
        <v>0.09058397099427876</v>
      </c>
      <c r="CP42" s="148">
        <f>IF(BU42+K42+L42=0,"-",((K42+L42)/(BU42+K42+L42)))</f>
        <v>0.07309158919031762</v>
      </c>
      <c r="CQ42" s="148">
        <f>IF(BU42+K42+L42=0,"-",((K42)/(BU42+K42+L42)))</f>
        <v>0.07309158919031762</v>
      </c>
      <c r="CR42" s="149">
        <f>IF(CE42=0,"-",(CS42/CE42))</f>
        <v>-7.740028901757658</v>
      </c>
      <c r="CS42" s="72">
        <f>BT42-BY42</f>
        <v>-7123339.390000001</v>
      </c>
      <c r="CT42" s="76">
        <f>Y42-K42-L42-V42</f>
        <v>7337064.699999999</v>
      </c>
      <c r="CU42" s="76">
        <f>AU42-AR42</f>
        <v>8257389.35</v>
      </c>
      <c r="CV42" s="76">
        <f>CU42-CT42</f>
        <v>920324.6500000004</v>
      </c>
      <c r="CW42" s="76">
        <f>-V42+AR42</f>
        <v>0</v>
      </c>
      <c r="CX42" s="76">
        <f>CV42+CW42</f>
        <v>920324.6500000004</v>
      </c>
      <c r="CY42" s="76">
        <f>CX42-K42-L42</f>
        <v>303687.9000000004</v>
      </c>
      <c r="CZ42" s="76">
        <f>BR42-BP42</f>
        <v>152596</v>
      </c>
      <c r="DA42" s="76">
        <f>K42+L42</f>
        <v>616636.75</v>
      </c>
      <c r="DB42" s="76">
        <f>-CZ42+DA42+CY42</f>
        <v>767728.6500000004</v>
      </c>
      <c r="DC42" s="76">
        <f>-BP42-DA42</f>
        <v>-644606.4</v>
      </c>
      <c r="DD42" s="76">
        <f>DB42+DC42+BR42</f>
        <v>303687.9000000004</v>
      </c>
      <c r="DE42" s="76">
        <f>Z42+AA42+AB42</f>
        <v>4145382.9</v>
      </c>
      <c r="DF42" s="76">
        <f>CS42/B42</f>
        <v>-1140.82949871877</v>
      </c>
      <c r="DG42" s="76">
        <f>CH42/B42</f>
        <v>18.912027546444588</v>
      </c>
      <c r="DH42" s="76">
        <f>DE42/B42</f>
        <v>663.8986066623959</v>
      </c>
      <c r="DI42" s="77">
        <f>CZ42/B42</f>
        <v>24.43882126841768</v>
      </c>
      <c r="DJ42" s="72">
        <f>DB42/B42</f>
        <v>122.95462043561825</v>
      </c>
      <c r="DK42" s="151">
        <f>CA42-BW42-BU42</f>
        <v>-7123339.390000001</v>
      </c>
      <c r="DL42" s="72">
        <v>154</v>
      </c>
      <c r="DM42" s="72">
        <v>403</v>
      </c>
      <c r="DN42" s="63">
        <v>0</v>
      </c>
    </row>
    <row r="43" spans="1:118" ht="12.75">
      <c r="A43" s="3" t="s">
        <v>221</v>
      </c>
      <c r="B43" s="134">
        <f>B12+B14+B23</f>
        <v>1087</v>
      </c>
      <c r="G43" s="129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f>SUM(K43:L43)</f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0</v>
      </c>
      <c r="Y43" s="41">
        <f>SUM(G43:X43)-M43-W43</f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f>SUM(Z43:AD43)</f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0</v>
      </c>
      <c r="AU43" s="4">
        <f>SUM(Z43:AT43)-AE43-AH43-AS43</f>
        <v>0</v>
      </c>
      <c r="AV43" s="4">
        <v>0</v>
      </c>
      <c r="AW43" s="4">
        <v>0</v>
      </c>
      <c r="AX43" s="4">
        <f>Y43-AU43+AV43-AW43</f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f>SUM(AZ43:BE43)</f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f>SUM(BG43:BN43)</f>
        <v>0</v>
      </c>
      <c r="BP43" s="41">
        <v>0</v>
      </c>
      <c r="BQ43" s="41">
        <v>0</v>
      </c>
      <c r="BR43" s="41">
        <v>0</v>
      </c>
      <c r="BS43" s="41">
        <f>+BF43-BO43+BP43+BQ43-BR43</f>
        <v>0</v>
      </c>
      <c r="BT43" s="4">
        <v>0</v>
      </c>
      <c r="BU43" s="4">
        <v>0</v>
      </c>
      <c r="BV43" s="4">
        <v>0</v>
      </c>
      <c r="BW43" s="4">
        <v>0</v>
      </c>
      <c r="BX43" s="4">
        <f>SUM(BT43:BW43)</f>
        <v>0</v>
      </c>
      <c r="BY43" s="4">
        <v>0</v>
      </c>
      <c r="BZ43" s="4">
        <v>0</v>
      </c>
      <c r="CA43" s="4">
        <v>0</v>
      </c>
      <c r="CB43" s="4">
        <f>SUM(BY43:CA43)</f>
        <v>0</v>
      </c>
      <c r="CC43" s="4">
        <f>BX43-CB43</f>
        <v>0</v>
      </c>
      <c r="CD43" s="70">
        <f>K43+L43+AV43-AW43</f>
        <v>0</v>
      </c>
      <c r="CE43" s="72">
        <f>CD43+W43-AS43</f>
        <v>0</v>
      </c>
      <c r="CF43" s="72">
        <f>BR43-BP43</f>
        <v>0</v>
      </c>
      <c r="CG43" s="72">
        <f>AU43-AM43-AT43-AS43</f>
        <v>0</v>
      </c>
      <c r="CH43" s="72">
        <f>I43-AG43+AY43+AH43+BQ43</f>
        <v>0</v>
      </c>
      <c r="CI43" s="35">
        <f>CH43+K43</f>
        <v>0</v>
      </c>
      <c r="CJ43" s="57" t="str">
        <f>IF(CF43=0,"-",(CD43/CF43))</f>
        <v>-</v>
      </c>
      <c r="CK43" s="57" t="str">
        <f>IF(CF43=0,"-",(CE43/CF43))</f>
        <v>-</v>
      </c>
      <c r="CL43" s="148" t="str">
        <f>IF(CG43=0,"-",(CD43/CG43*1))</f>
        <v>-</v>
      </c>
      <c r="CM43" s="148" t="str">
        <f>IF(CE43=0,"-",(CE43/CG43))</f>
        <v>-</v>
      </c>
      <c r="CN43" s="148" t="str">
        <f>IF(CG43=0,"-",(CH43/CG43))</f>
        <v>-</v>
      </c>
      <c r="CO43" s="148" t="str">
        <f>IF(CG43=0,"-",(CI43/CG43))</f>
        <v>-</v>
      </c>
      <c r="CP43" s="148" t="str">
        <f>IF(BU43+K43+L43=0,"-",((K43+L43)/(BU43+K43+L43)))</f>
        <v>-</v>
      </c>
      <c r="CQ43" s="148" t="str">
        <f>IF(BU43+K43+L43=0,"-",((K43)/(BU43+K43+L43)))</f>
        <v>-</v>
      </c>
      <c r="CR43" s="149" t="str">
        <f>IF(CE43=0,"-",(CS43/CE43))</f>
        <v>-</v>
      </c>
      <c r="CS43" s="72">
        <f>BT43-BY43</f>
        <v>0</v>
      </c>
      <c r="CT43" s="76">
        <f>Y43-K43-L43-V43</f>
        <v>0</v>
      </c>
      <c r="CU43" s="76">
        <f>AU43-AR43</f>
        <v>0</v>
      </c>
      <c r="CV43" s="76">
        <f>CU43-CT43</f>
        <v>0</v>
      </c>
      <c r="CW43" s="76">
        <f>-V43+AR43</f>
        <v>0</v>
      </c>
      <c r="CX43" s="76">
        <f>CV43+CW43</f>
        <v>0</v>
      </c>
      <c r="CY43" s="76">
        <f>CX43-K43-L43</f>
        <v>0</v>
      </c>
      <c r="CZ43" s="76">
        <f>BR43-BP43</f>
        <v>0</v>
      </c>
      <c r="DA43" s="76">
        <f>K43+L43</f>
        <v>0</v>
      </c>
      <c r="DB43" s="76">
        <f>-CZ43+DA43+CY43</f>
        <v>0</v>
      </c>
      <c r="DC43" s="76">
        <f>-BP43-DA43</f>
        <v>0</v>
      </c>
      <c r="DD43" s="76">
        <f>DB43+DC43+BR43</f>
        <v>0</v>
      </c>
      <c r="DE43" s="76">
        <f>Z43+AA43+AB43</f>
        <v>0</v>
      </c>
      <c r="DF43" s="76">
        <f>CS43/B43</f>
        <v>0</v>
      </c>
      <c r="DG43" s="76">
        <f>CH43/B43</f>
        <v>0</v>
      </c>
      <c r="DH43" s="76">
        <f>DE43/B43</f>
        <v>0</v>
      </c>
      <c r="DI43" s="77">
        <f>CZ43/B43</f>
        <v>0</v>
      </c>
      <c r="DJ43" s="72">
        <f>DB43/B43</f>
        <v>0</v>
      </c>
      <c r="DK43" s="151">
        <f>CA43-BW43-BU43</f>
        <v>0</v>
      </c>
      <c r="DL43" s="72">
        <v>0</v>
      </c>
      <c r="DM43" s="72">
        <v>0</v>
      </c>
      <c r="DN43" s="63">
        <v>0</v>
      </c>
    </row>
    <row r="44" spans="1:118" ht="12.75">
      <c r="A44" s="3" t="s">
        <v>222</v>
      </c>
      <c r="B44" s="134">
        <f>B13+B16</f>
        <v>922</v>
      </c>
      <c r="G44" s="129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f>SUM(K44:L44)</f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f>SUM(Z44:AD44)</f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0</v>
      </c>
      <c r="AV44" s="4">
        <v>0</v>
      </c>
      <c r="AW44" s="4">
        <v>0</v>
      </c>
      <c r="AX44" s="4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0</v>
      </c>
      <c r="BU44" s="4">
        <v>0</v>
      </c>
      <c r="BV44" s="4">
        <v>0</v>
      </c>
      <c r="BW44" s="4">
        <v>0</v>
      </c>
      <c r="BX44" s="4">
        <f>SUM(BT44:BW44)</f>
        <v>0</v>
      </c>
      <c r="BY44" s="4">
        <v>0</v>
      </c>
      <c r="BZ44" s="4">
        <v>0</v>
      </c>
      <c r="CA44" s="4">
        <v>0</v>
      </c>
      <c r="CB44" s="4">
        <f>SUM(BY44:CA44)</f>
        <v>0</v>
      </c>
      <c r="CC44" s="4">
        <f>BX44-CB44</f>
        <v>0</v>
      </c>
      <c r="CD44" s="70">
        <f>K44+L44+AV44-AW44</f>
        <v>0</v>
      </c>
      <c r="CE44" s="72">
        <f>CD44+W44-AS44</f>
        <v>0</v>
      </c>
      <c r="CF44" s="72">
        <f>BR44-BP44</f>
        <v>0</v>
      </c>
      <c r="CG44" s="72">
        <f>AU44-AM44-AT44-AS44</f>
        <v>0</v>
      </c>
      <c r="CH44" s="72">
        <f>I44-AG44+AY44+AH44+BQ44</f>
        <v>0</v>
      </c>
      <c r="CI44" s="35">
        <f>CH44+K44</f>
        <v>0</v>
      </c>
      <c r="CJ44" s="57" t="str">
        <f>IF(CF44=0,"-",(CD44/CF44))</f>
        <v>-</v>
      </c>
      <c r="CK44" s="57" t="str">
        <f>IF(CF44=0,"-",(CE44/CF44))</f>
        <v>-</v>
      </c>
      <c r="CL44" s="148" t="str">
        <f>IF(CG44=0,"-",(CD44/CG44*1))</f>
        <v>-</v>
      </c>
      <c r="CM44" s="148" t="str">
        <f>IF(CE44=0,"-",(CE44/CG44))</f>
        <v>-</v>
      </c>
      <c r="CN44" s="148" t="str">
        <f>IF(CG44=0,"-",(CH44/CG44))</f>
        <v>-</v>
      </c>
      <c r="CO44" s="148" t="str">
        <f>IF(CG44=0,"-",(CI44/CG44))</f>
        <v>-</v>
      </c>
      <c r="CP44" s="148" t="str">
        <f>IF(BU44+K44+L44=0,"-",((K44+L44)/(BU44+K44+L44)))</f>
        <v>-</v>
      </c>
      <c r="CQ44" s="148" t="str">
        <f>IF(BU44+K44+L44=0,"-",((K44)/(BU44+K44+L44)))</f>
        <v>-</v>
      </c>
      <c r="CR44" s="149" t="str">
        <f>IF(CE44=0,"-",(CS44/CE44))</f>
        <v>-</v>
      </c>
      <c r="CS44" s="72">
        <f>BT44-BY44</f>
        <v>0</v>
      </c>
      <c r="CT44" s="76">
        <f>Y44-K44-L44-V44</f>
        <v>0</v>
      </c>
      <c r="CU44" s="76">
        <f>AU44-AR44</f>
        <v>0</v>
      </c>
      <c r="CV44" s="76">
        <f>CU44-CT44</f>
        <v>0</v>
      </c>
      <c r="CW44" s="76">
        <f>-V44+AR44</f>
        <v>0</v>
      </c>
      <c r="CX44" s="76">
        <f>CV44+CW44</f>
        <v>0</v>
      </c>
      <c r="CY44" s="76">
        <f>CX44-K44-L44</f>
        <v>0</v>
      </c>
      <c r="CZ44" s="76">
        <f>BR44-BP44</f>
        <v>0</v>
      </c>
      <c r="DA44" s="76">
        <f>K44+L44</f>
        <v>0</v>
      </c>
      <c r="DB44" s="76">
        <f>-CZ44+DA44+CY44</f>
        <v>0</v>
      </c>
      <c r="DC44" s="76">
        <f>-BP44-DA44</f>
        <v>0</v>
      </c>
      <c r="DD44" s="76">
        <f>DB44+DC44+BR44</f>
        <v>0</v>
      </c>
      <c r="DE44" s="76">
        <f>Z44+AA44+AB44</f>
        <v>0</v>
      </c>
      <c r="DF44" s="76">
        <f>CS44/B44</f>
        <v>0</v>
      </c>
      <c r="DG44" s="76">
        <f>CH44/B44</f>
        <v>0</v>
      </c>
      <c r="DH44" s="76">
        <f>DE44/B44</f>
        <v>0</v>
      </c>
      <c r="DI44" s="77">
        <f>CZ44/B44</f>
        <v>0</v>
      </c>
      <c r="DJ44" s="72">
        <f>DB44/B44</f>
        <v>0</v>
      </c>
      <c r="DK44" s="151">
        <f>CA44-BW44-BU44</f>
        <v>0</v>
      </c>
      <c r="DL44" s="72">
        <v>33</v>
      </c>
      <c r="DM44" s="72">
        <v>71</v>
      </c>
      <c r="DN44" s="63">
        <v>0</v>
      </c>
    </row>
    <row r="45" ht="12.75">
      <c r="CG45" s="72"/>
    </row>
    <row r="46" spans="1:118" ht="12.75">
      <c r="A46" s="3" t="s">
        <v>252</v>
      </c>
      <c r="B46" s="134">
        <f>B8</f>
        <v>683</v>
      </c>
      <c r="C46" s="141"/>
      <c r="D46" s="141"/>
      <c r="E46" s="141"/>
      <c r="F46" s="141"/>
      <c r="G46" s="129">
        <v>13566.8</v>
      </c>
      <c r="H46" s="41">
        <v>34233.4</v>
      </c>
      <c r="I46" s="41">
        <v>22917.55</v>
      </c>
      <c r="J46" s="41">
        <v>0</v>
      </c>
      <c r="K46" s="41">
        <v>143000</v>
      </c>
      <c r="L46" s="41">
        <v>0</v>
      </c>
      <c r="M46" s="41">
        <f>SUM(K46:L46)</f>
        <v>143000</v>
      </c>
      <c r="N46" s="41">
        <v>0</v>
      </c>
      <c r="O46" s="41">
        <v>338230.3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551948.05</v>
      </c>
      <c r="Z46" s="41">
        <v>215932.65</v>
      </c>
      <c r="AA46" s="41">
        <v>29218.2</v>
      </c>
      <c r="AB46" s="41">
        <v>0</v>
      </c>
      <c r="AC46" s="41">
        <v>14780.5</v>
      </c>
      <c r="AD46" s="41">
        <v>0</v>
      </c>
      <c r="AE46" s="41">
        <f>SUM(Z46:AD46)</f>
        <v>259931.35</v>
      </c>
      <c r="AF46" s="41">
        <v>0</v>
      </c>
      <c r="AG46" s="41">
        <v>640.15</v>
      </c>
      <c r="AH46" s="41">
        <v>0</v>
      </c>
      <c r="AI46" s="41">
        <v>39680</v>
      </c>
      <c r="AJ46" s="41">
        <v>18421</v>
      </c>
      <c r="AK46" s="41">
        <v>281</v>
      </c>
      <c r="AL46" s="41">
        <v>5270.5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324224.0000000001</v>
      </c>
      <c r="AV46" s="4">
        <v>0</v>
      </c>
      <c r="AW46" s="4">
        <v>227724.05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20954</v>
      </c>
      <c r="BU46" s="4">
        <v>551668.9</v>
      </c>
      <c r="BV46" s="4">
        <v>0</v>
      </c>
      <c r="BW46" s="4">
        <f>227724.05-73163.25</f>
        <v>154560.8</v>
      </c>
      <c r="BX46" s="4">
        <f>SUM(BT46:BW46)</f>
        <v>727183.7</v>
      </c>
      <c r="BY46" s="4">
        <v>727183.7</v>
      </c>
      <c r="BZ46" s="4">
        <v>0</v>
      </c>
      <c r="CA46" s="4">
        <v>0</v>
      </c>
      <c r="CB46" s="4">
        <f>SUM(BY46:CA46)</f>
        <v>727183.7</v>
      </c>
      <c r="CC46" s="4">
        <f>BX46-CB46</f>
        <v>0</v>
      </c>
      <c r="CD46" s="70">
        <f>K46+L46+AV46-AW46</f>
        <v>-84724.04999999999</v>
      </c>
      <c r="CE46" s="72">
        <f>CD46+W46-AS46</f>
        <v>-84724.04999999999</v>
      </c>
      <c r="CF46" s="72">
        <f>BR46-BP46</f>
        <v>0</v>
      </c>
      <c r="CG46" s="72">
        <f>AU46-AM46-AT46-AS46</f>
        <v>324224.0000000001</v>
      </c>
      <c r="CH46" s="72">
        <f>I46-AG46+AY46+AH46+BQ46</f>
        <v>22277.399999999998</v>
      </c>
      <c r="CI46" s="35">
        <f>CH46+K46</f>
        <v>165277.4</v>
      </c>
      <c r="CJ46" s="57" t="str">
        <f>IF(CF46=0,"-",(CD46/CF46))</f>
        <v>-</v>
      </c>
      <c r="CK46" s="57" t="str">
        <f>IF(CF46=0,"-",(CE46/CF46))</f>
        <v>-</v>
      </c>
      <c r="CL46" s="148">
        <f>IF(CG46=0,"-",(CD46/CG46*1))</f>
        <v>-0.2613133204204499</v>
      </c>
      <c r="CM46" s="148">
        <f>IF(CE46=0,"-",(CE46/CG46))</f>
        <v>-0.2613133204204499</v>
      </c>
      <c r="CN46" s="148">
        <f>IF(CG46=0,"-",(CH46/CG46))</f>
        <v>0.06870990426371888</v>
      </c>
      <c r="CO46" s="148">
        <f>IF(CG46=0,"-",(CI46/CG46))</f>
        <v>0.5097630033557045</v>
      </c>
      <c r="CP46" s="148">
        <f>IF(BU46+K46+L46=0,"-",((K46+L46)/(BU46+K46+L46)))</f>
        <v>0.2058534648664997</v>
      </c>
      <c r="CQ46" s="148">
        <f>IF(BU46+K46+L46=0,"-",((K46)/(BU46+K46+L46)))</f>
        <v>0.2058534648664997</v>
      </c>
      <c r="CR46" s="149">
        <f>IF(CE46=0,"-",(CS46/CE46))</f>
        <v>8.335646135896479</v>
      </c>
      <c r="CS46" s="72">
        <f>BT46-BY46</f>
        <v>-706229.7</v>
      </c>
      <c r="CT46" s="76">
        <f>Y46-K46-L46-V46</f>
        <v>408948.05000000005</v>
      </c>
      <c r="CU46" s="76">
        <f>AU46-AR46</f>
        <v>324224.0000000001</v>
      </c>
      <c r="CV46" s="76">
        <f>CU46-CT46</f>
        <v>-84724.04999999993</v>
      </c>
      <c r="CW46" s="76">
        <f>-V46+AR46</f>
        <v>0</v>
      </c>
      <c r="CX46" s="76">
        <f>CV46+CW46</f>
        <v>-84724.04999999993</v>
      </c>
      <c r="CY46" s="76">
        <f>CX46-K46-L46</f>
        <v>-227724.04999999993</v>
      </c>
      <c r="CZ46" s="76">
        <f>BR46-BP46</f>
        <v>0</v>
      </c>
      <c r="DA46" s="76">
        <f>K46+L46</f>
        <v>143000</v>
      </c>
      <c r="DB46" s="76">
        <f>-CZ46+DA46+CY46</f>
        <v>-84724.04999999993</v>
      </c>
      <c r="DC46" s="76">
        <f>-BP46-DA46</f>
        <v>-143000</v>
      </c>
      <c r="DD46" s="76">
        <f>DB46+DC46+BR46</f>
        <v>-227724.04999999993</v>
      </c>
      <c r="DE46" s="76">
        <f>Z46+AA46+AB46</f>
        <v>245150.85</v>
      </c>
      <c r="DF46" s="76">
        <f>CS46/B46</f>
        <v>-1034.0112737920936</v>
      </c>
      <c r="DG46" s="76">
        <f>CH46/B46</f>
        <v>32.61698389458272</v>
      </c>
      <c r="DH46" s="76">
        <f>DE46/B46</f>
        <v>358.93243045387993</v>
      </c>
      <c r="DI46" s="77">
        <f>CZ46/B46</f>
        <v>0</v>
      </c>
      <c r="DJ46" s="72">
        <f>DB46/B46</f>
        <v>-124.04692532942889</v>
      </c>
      <c r="DK46" s="151">
        <f>CA46-BW46-BU46</f>
        <v>-706229.7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396</v>
      </c>
      <c r="C47" s="141"/>
      <c r="D47" s="141"/>
      <c r="E47" s="141"/>
      <c r="F47" s="141"/>
      <c r="G47" s="129">
        <f>2100+3230+399.2-170.3</f>
        <v>5558.9</v>
      </c>
      <c r="H47" s="41">
        <f>2749.8+39108-19554+709+3370.15+796.05+106.4+42.8</f>
        <v>27328.200000000004</v>
      </c>
      <c r="I47" s="41">
        <v>4067.6</v>
      </c>
      <c r="J47" s="41">
        <v>0</v>
      </c>
      <c r="K47" s="41">
        <v>0</v>
      </c>
      <c r="L47" s="41">
        <v>0</v>
      </c>
      <c r="M47" s="41">
        <f>SUM(K47:L47)</f>
        <v>0</v>
      </c>
      <c r="N47" s="41">
        <v>0</v>
      </c>
      <c r="O47" s="41">
        <f>8676.65+7425+2400+89718.8+108707.45</f>
        <v>216927.90000000002</v>
      </c>
      <c r="P47" s="41">
        <f>7500</f>
        <v>7500</v>
      </c>
      <c r="Q47" s="41">
        <v>0</v>
      </c>
      <c r="R47" s="41">
        <v>0</v>
      </c>
      <c r="S47" s="41">
        <v>79072.55</v>
      </c>
      <c r="T47" s="41">
        <v>0</v>
      </c>
      <c r="U47" s="41">
        <v>0</v>
      </c>
      <c r="V47" s="41">
        <v>0</v>
      </c>
      <c r="W47" s="41">
        <f>SUM(R47:V47)</f>
        <v>79072.55</v>
      </c>
      <c r="X47" s="41">
        <f>600+300</f>
        <v>900</v>
      </c>
      <c r="Y47" s="41">
        <f>SUM(G47:X47)-M47-W47</f>
        <v>341355.15</v>
      </c>
      <c r="Z47" s="41">
        <f>136607.7+19314</f>
        <v>155921.7</v>
      </c>
      <c r="AA47" s="41">
        <v>0</v>
      </c>
      <c r="AB47" s="41">
        <v>0</v>
      </c>
      <c r="AC47" s="41">
        <v>255.8</v>
      </c>
      <c r="AD47" s="41">
        <v>0</v>
      </c>
      <c r="AE47" s="41">
        <f>SUM(Z47:AD47)</f>
        <v>156177.5</v>
      </c>
      <c r="AF47" s="41">
        <v>0</v>
      </c>
      <c r="AG47" s="41">
        <f>752.15</f>
        <v>752.15</v>
      </c>
      <c r="AH47" s="41">
        <v>0</v>
      </c>
      <c r="AI47" s="41">
        <v>0</v>
      </c>
      <c r="AJ47" s="41">
        <v>0</v>
      </c>
      <c r="AK47" s="41">
        <v>0</v>
      </c>
      <c r="AL47" s="41">
        <f>53.2</f>
        <v>53.2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v>0</v>
      </c>
      <c r="AU47" s="4">
        <f>SUM(Z47:AT47)-AE47-AH47-AS47</f>
        <v>156982.85000000003</v>
      </c>
      <c r="AV47" s="4">
        <v>0</v>
      </c>
      <c r="AW47" s="4">
        <f>184372.3</f>
        <v>184372.3</v>
      </c>
      <c r="AX47" s="4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f>37904+8803.2+656605+184615.16</f>
        <v>887927.36</v>
      </c>
      <c r="BU47" s="4">
        <v>0</v>
      </c>
      <c r="BV47" s="4">
        <v>0</v>
      </c>
      <c r="BW47" s="4">
        <v>0</v>
      </c>
      <c r="BX47" s="4">
        <f>SUM(BT47:BW47)</f>
        <v>887927.36</v>
      </c>
      <c r="BY47" s="4">
        <f>100677.9+656605+72792.5</f>
        <v>830075.4</v>
      </c>
      <c r="BZ47" s="4">
        <v>0</v>
      </c>
      <c r="CA47" s="4">
        <f>57851.96</f>
        <v>57851.96</v>
      </c>
      <c r="CB47" s="4">
        <f>SUM(BY47:CA47)</f>
        <v>887927.36</v>
      </c>
      <c r="CC47" s="4">
        <f>BX47-CB47</f>
        <v>0</v>
      </c>
      <c r="CD47" s="70">
        <f>K47+L47+AV47-AW47</f>
        <v>-184372.3</v>
      </c>
      <c r="CE47" s="72">
        <f>CD47+W47-AS47</f>
        <v>-105299.74999999999</v>
      </c>
      <c r="CF47" s="72">
        <f>BR47-BP47</f>
        <v>0</v>
      </c>
      <c r="CG47" s="72">
        <f>AU47-AM47-AT47-AS47</f>
        <v>156982.85000000003</v>
      </c>
      <c r="CH47" s="72">
        <f>I47-AG47+AY47+AH47+BQ47</f>
        <v>3315.45</v>
      </c>
      <c r="CI47" s="35">
        <f>CH47+K47</f>
        <v>3315.45</v>
      </c>
      <c r="CJ47" s="57" t="str">
        <f>IF(CF47=0,"-",(CD47/CF47))</f>
        <v>-</v>
      </c>
      <c r="CK47" s="57" t="str">
        <f>IF(CF47=0,"-",(CE47/CF47))</f>
        <v>-</v>
      </c>
      <c r="CL47" s="148">
        <f>IF(CG47=0,"-",(CD47/CG47*1))</f>
        <v>-1.1744741543423372</v>
      </c>
      <c r="CM47" s="148">
        <f>IF(CE47=0,"-",(CE47/CG47))</f>
        <v>-0.6707723168486237</v>
      </c>
      <c r="CN47" s="148">
        <f>IF(CG47=0,"-",(CH47/CG47))</f>
        <v>0.0211198229615528</v>
      </c>
      <c r="CO47" s="148">
        <f>IF(CG47=0,"-",(CI47/CG47))</f>
        <v>0.0211198229615528</v>
      </c>
      <c r="CP47" s="148" t="str">
        <f>IF(BU47+K47+L47=0,"-",((K47+L47)/(BU47+K47+L47)))</f>
        <v>-</v>
      </c>
      <c r="CQ47" s="148" t="str">
        <f>IF(BU47+K47+L47=0,"-",((K47)/(BU47+K47+L47)))</f>
        <v>-</v>
      </c>
      <c r="CR47" s="149">
        <f>IF(CE47=0,"-",(CS47/CE47))</f>
        <v>-0.5494026339093869</v>
      </c>
      <c r="CS47" s="72">
        <f>BT47-BY47</f>
        <v>57851.95999999996</v>
      </c>
      <c r="CT47" s="76">
        <f>Y47-K47-L47-V47</f>
        <v>341355.15</v>
      </c>
      <c r="CU47" s="76">
        <f>AU47-AR47</f>
        <v>156982.85000000003</v>
      </c>
      <c r="CV47" s="76">
        <f>CU47-CT47</f>
        <v>-184372.3</v>
      </c>
      <c r="CW47" s="76">
        <f>-V47+AR47</f>
        <v>0</v>
      </c>
      <c r="CX47" s="76">
        <f>CV47+CW47</f>
        <v>-184372.3</v>
      </c>
      <c r="CY47" s="76">
        <f>CX47-K47-L47</f>
        <v>-184372.3</v>
      </c>
      <c r="CZ47" s="76">
        <f>BR47-BP47</f>
        <v>0</v>
      </c>
      <c r="DA47" s="76">
        <f>K47+L47</f>
        <v>0</v>
      </c>
      <c r="DB47" s="76">
        <f>-CZ47+DA47+CY47</f>
        <v>-184372.3</v>
      </c>
      <c r="DC47" s="76">
        <f>-BP47-DA47</f>
        <v>0</v>
      </c>
      <c r="DD47" s="76">
        <f>DB47+DC47+BR47</f>
        <v>-184372.3</v>
      </c>
      <c r="DE47" s="76">
        <f>Z47+AA47+AB47</f>
        <v>155921.7</v>
      </c>
      <c r="DF47" s="76">
        <f>CS47/B47</f>
        <v>146.090808080808</v>
      </c>
      <c r="DG47" s="76">
        <f>CH47/B47</f>
        <v>8.372348484848484</v>
      </c>
      <c r="DH47" s="76">
        <f>DE47/B47</f>
        <v>393.7416666666667</v>
      </c>
      <c r="DI47" s="77">
        <f>CZ47/B47</f>
        <v>0</v>
      </c>
      <c r="DJ47" s="72">
        <f>DB47/B47</f>
        <v>-465.5866161616161</v>
      </c>
      <c r="DK47" s="151">
        <f>CA47-BW47-BU47</f>
        <v>57851.96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778</v>
      </c>
      <c r="C48" s="141"/>
      <c r="D48" s="141"/>
      <c r="E48" s="141"/>
      <c r="F48" s="141"/>
      <c r="G48" s="129">
        <v>539640.9</v>
      </c>
      <c r="H48" s="41">
        <v>161851</v>
      </c>
      <c r="I48" s="41">
        <v>16873.45</v>
      </c>
      <c r="J48" s="41">
        <v>0</v>
      </c>
      <c r="K48" s="41">
        <v>229241.6</v>
      </c>
      <c r="L48" s="41">
        <v>0</v>
      </c>
      <c r="M48" s="41">
        <f>SUM(K48:L48)</f>
        <v>229241.6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947606.9500000001</v>
      </c>
      <c r="Z48" s="41">
        <v>247470</v>
      </c>
      <c r="AA48" s="41">
        <v>355591.5</v>
      </c>
      <c r="AB48" s="41">
        <v>0</v>
      </c>
      <c r="AC48" s="41">
        <v>9185.3</v>
      </c>
      <c r="AD48" s="41">
        <v>0</v>
      </c>
      <c r="AE48" s="41">
        <f>SUM(Z48:AD48)</f>
        <v>612246.8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612246.8</v>
      </c>
      <c r="AV48" s="4">
        <v>0</v>
      </c>
      <c r="AW48" s="4">
        <v>335360.15</v>
      </c>
      <c r="AX48" s="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240010.62</v>
      </c>
      <c r="BU48" s="4">
        <v>0</v>
      </c>
      <c r="BV48" s="4">
        <v>0</v>
      </c>
      <c r="BW48" s="4">
        <v>335360.15</v>
      </c>
      <c r="BX48" s="4">
        <f>SUM(BT48:BW48)</f>
        <v>575370.77</v>
      </c>
      <c r="BY48" s="4">
        <v>472308.4</v>
      </c>
      <c r="BZ48" s="4">
        <v>0</v>
      </c>
      <c r="CA48" s="4">
        <v>103062.37</v>
      </c>
      <c r="CB48" s="4">
        <f>SUM(BY48:CA48)</f>
        <v>575370.77</v>
      </c>
      <c r="CC48" s="4">
        <f>BX48-CB48</f>
        <v>0</v>
      </c>
      <c r="CD48" s="70">
        <f>K48+L48+AV48-AW48</f>
        <v>-106118.55000000002</v>
      </c>
      <c r="CE48" s="72">
        <f>CD48+W48-AS48</f>
        <v>-106118.55000000002</v>
      </c>
      <c r="CF48" s="72">
        <f>BR48-BP48</f>
        <v>0</v>
      </c>
      <c r="CG48" s="72">
        <f>AU48-AM48-AT48-AS48</f>
        <v>612246.8</v>
      </c>
      <c r="CH48" s="72">
        <f>I48-AG48+AY48+AH48+BQ48</f>
        <v>16873.45</v>
      </c>
      <c r="CI48" s="35">
        <f>CH48+K48</f>
        <v>246115.05000000002</v>
      </c>
      <c r="CJ48" s="57" t="str">
        <f>IF(CF48=0,"-",(CD48/CF48))</f>
        <v>-</v>
      </c>
      <c r="CK48" s="57" t="str">
        <f>IF(CF48=0,"-",(CE48/CF48))</f>
        <v>-</v>
      </c>
      <c r="CL48" s="148">
        <f>IF(CG48=0,"-",(CD48/CG48*1))</f>
        <v>-0.17332642653256825</v>
      </c>
      <c r="CM48" s="148">
        <f>IF(CE48=0,"-",(CE48/CG48))</f>
        <v>-0.17332642653256825</v>
      </c>
      <c r="CN48" s="148">
        <f>IF(CG48=0,"-",(CH48/CG48))</f>
        <v>0.027559882713964368</v>
      </c>
      <c r="CO48" s="148">
        <f>IF(CG48=0,"-",(CI48/CG48))</f>
        <v>0.4019866661614238</v>
      </c>
      <c r="CP48" s="148">
        <f>IF(BU48+K48+L48=0,"-",((K48+L48)/(BU48+K48+L48)))</f>
        <v>1</v>
      </c>
      <c r="CQ48" s="148">
        <f>IF(BU48+K48+L48=0,"-",((K48)/(BU48+K48+L48)))</f>
        <v>1</v>
      </c>
      <c r="CR48" s="149">
        <f>IF(CE48=0,"-",(CS48/CE48))</f>
        <v>2.1890402761816854</v>
      </c>
      <c r="CS48" s="72">
        <f>BT48-BY48</f>
        <v>-232297.78000000003</v>
      </c>
      <c r="CT48" s="76">
        <f>Y48-K48-L48-V48</f>
        <v>718365.3500000001</v>
      </c>
      <c r="CU48" s="76">
        <f>AU48-AR48</f>
        <v>612246.8</v>
      </c>
      <c r="CV48" s="76">
        <f>CU48-CT48</f>
        <v>-106118.55000000005</v>
      </c>
      <c r="CW48" s="76">
        <f>-V48+AR48</f>
        <v>0</v>
      </c>
      <c r="CX48" s="76">
        <f>CV48+CW48</f>
        <v>-106118.55000000005</v>
      </c>
      <c r="CY48" s="76">
        <f>CX48-K48-L48</f>
        <v>-335360.15</v>
      </c>
      <c r="CZ48" s="76">
        <f>BR48-BP48</f>
        <v>0</v>
      </c>
      <c r="DA48" s="76">
        <f>K48+L48</f>
        <v>229241.6</v>
      </c>
      <c r="DB48" s="76">
        <f>-CZ48+DA48+CY48</f>
        <v>-106118.55000000002</v>
      </c>
      <c r="DC48" s="76">
        <f>-BP48-DA48</f>
        <v>-229241.6</v>
      </c>
      <c r="DD48" s="76">
        <f>DB48+DC48+BR48</f>
        <v>-335360.15</v>
      </c>
      <c r="DE48" s="76">
        <f>Z48+AA48+AB48</f>
        <v>603061.5</v>
      </c>
      <c r="DF48" s="76">
        <f>CS48/B48</f>
        <v>-298.58326478149104</v>
      </c>
      <c r="DG48" s="76">
        <f>CH48/B48</f>
        <v>21.68823907455013</v>
      </c>
      <c r="DH48" s="76">
        <f>DE48/B48</f>
        <v>775.1433161953728</v>
      </c>
      <c r="DI48" s="77">
        <f>CZ48/B48</f>
        <v>0</v>
      </c>
      <c r="DJ48" s="72">
        <f>DB48/B48</f>
        <v>-136.39916452442162</v>
      </c>
      <c r="DK48" s="151">
        <f>CA48-BW48-BU48</f>
        <v>-232297.78000000003</v>
      </c>
      <c r="DL48" s="72">
        <v>17</v>
      </c>
      <c r="DM48" s="72">
        <v>101</v>
      </c>
      <c r="DN48" s="63">
        <v>0</v>
      </c>
    </row>
    <row r="49" spans="1:118" ht="12.75">
      <c r="A49" s="3" t="s">
        <v>255</v>
      </c>
      <c r="B49" s="134">
        <f>B8+B17</f>
        <v>1079</v>
      </c>
      <c r="C49" s="141"/>
      <c r="D49" s="141"/>
      <c r="E49" s="141"/>
      <c r="F49" s="141"/>
      <c r="G49" s="129">
        <v>777319.85</v>
      </c>
      <c r="H49" s="41">
        <v>125393</v>
      </c>
      <c r="I49" s="41">
        <v>16095.4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10737.4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888.1</v>
      </c>
      <c r="Y49" s="41">
        <f>SUM(G49:X49)-M49-W49</f>
        <v>930433.75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2214.55</v>
      </c>
      <c r="AJ49" s="41">
        <v>310250</v>
      </c>
      <c r="AK49" s="41">
        <v>253913.55</v>
      </c>
      <c r="AL49" s="41">
        <v>348206.65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15849</v>
      </c>
      <c r="AU49" s="4">
        <f>SUM(Z49:AT49)-AE49-AH49-AS49</f>
        <v>930433.75</v>
      </c>
      <c r="AV49" s="4">
        <v>0</v>
      </c>
      <c r="AW49" s="4">
        <v>0</v>
      </c>
      <c r="AX49" s="4">
        <f>Y49-AU49+AV49-AW49</f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0</v>
      </c>
      <c r="BU49" s="4">
        <v>0</v>
      </c>
      <c r="BV49" s="4">
        <v>0</v>
      </c>
      <c r="BW49" s="4">
        <v>0</v>
      </c>
      <c r="BX49" s="4">
        <f>SUM(BT49:BW49)</f>
        <v>0</v>
      </c>
      <c r="BY49" s="4">
        <v>0</v>
      </c>
      <c r="BZ49" s="4">
        <v>0</v>
      </c>
      <c r="CA49" s="4">
        <v>0</v>
      </c>
      <c r="CB49" s="4">
        <f>SUM(BY49:CA49)</f>
        <v>0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914584.75</v>
      </c>
      <c r="CH49" s="72">
        <f>I49-AG49+AY49+AH49+BQ49</f>
        <v>16095.4</v>
      </c>
      <c r="CI49" s="35">
        <f>CH49+K49</f>
        <v>16095.4</v>
      </c>
      <c r="CJ49" s="57" t="str">
        <f>IF(CF49=0,"-",(CD49/CF49))</f>
        <v>-</v>
      </c>
      <c r="CK49" s="57" t="str">
        <f>IF(CF49=0,"-",(CE49/CF49))</f>
        <v>-</v>
      </c>
      <c r="CL49" s="148">
        <f>IF(CG49=0,"-",(CD49/CG49*1))</f>
        <v>0</v>
      </c>
      <c r="CM49" s="148" t="str">
        <f>IF(CE49=0,"-",(CE49/CG49))</f>
        <v>-</v>
      </c>
      <c r="CN49" s="148">
        <f>IF(CG49=0,"-",(CH49/CG49))</f>
        <v>0.01759858777439707</v>
      </c>
      <c r="CO49" s="148">
        <f>IF(CG49=0,"-",(CI49/CG49))</f>
        <v>0.01759858777439707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0</v>
      </c>
      <c r="CT49" s="76">
        <f>Y49-K49-L49-V49</f>
        <v>930433.75</v>
      </c>
      <c r="CU49" s="76">
        <f>AU49-AR49</f>
        <v>930433.75</v>
      </c>
      <c r="CV49" s="76">
        <f>CU49-CT49</f>
        <v>0</v>
      </c>
      <c r="CW49" s="76">
        <f>-V49+AR49</f>
        <v>0</v>
      </c>
      <c r="CX49" s="76">
        <f>CV49+CW49</f>
        <v>0</v>
      </c>
      <c r="CY49" s="76">
        <f>CX49-K49-L49</f>
        <v>0</v>
      </c>
      <c r="CZ49" s="76">
        <f>BR49-BP49</f>
        <v>0</v>
      </c>
      <c r="DA49" s="76">
        <f>K49+L49</f>
        <v>0</v>
      </c>
      <c r="DB49" s="76">
        <f>-CZ49+DA49+CY49</f>
        <v>0</v>
      </c>
      <c r="DC49" s="76">
        <f>-BP49-DA49</f>
        <v>0</v>
      </c>
      <c r="DD49" s="76">
        <f>DB49+DC49+BR49</f>
        <v>0</v>
      </c>
      <c r="DE49" s="76">
        <f>Z49+AA49+AB49</f>
        <v>0</v>
      </c>
      <c r="DF49" s="76">
        <f>CS49/B49</f>
        <v>0</v>
      </c>
      <c r="DG49" s="76">
        <f>CH49/B49</f>
        <v>14.91696014828545</v>
      </c>
      <c r="DH49" s="76">
        <f>DE49/B49</f>
        <v>0</v>
      </c>
      <c r="DI49" s="77">
        <f>CZ49/B49</f>
        <v>0</v>
      </c>
      <c r="DJ49" s="72">
        <f>DB49/B49</f>
        <v>0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1857</v>
      </c>
      <c r="C50" s="141"/>
      <c r="D50" s="141"/>
      <c r="E50" s="141"/>
      <c r="F50" s="141"/>
      <c r="G50" s="129">
        <v>1002580</v>
      </c>
      <c r="H50" s="41">
        <v>167826.1</v>
      </c>
      <c r="I50" s="41">
        <v>19212.85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1316.15</v>
      </c>
      <c r="Y50" s="41">
        <f>SUM(G50:X50)-M50-W50</f>
        <v>1190935.1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299300</v>
      </c>
      <c r="AK50" s="41">
        <v>420142.3</v>
      </c>
      <c r="AL50" s="41">
        <v>471492.8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1190935.1</v>
      </c>
      <c r="AV50" s="4">
        <v>0</v>
      </c>
      <c r="AW50" s="4">
        <v>0</v>
      </c>
      <c r="AX50" s="4">
        <f>Y50-AU50+AV50-AW50</f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0</v>
      </c>
      <c r="BU50" s="4">
        <v>0</v>
      </c>
      <c r="BV50" s="4">
        <v>0</v>
      </c>
      <c r="BW50" s="4">
        <v>0</v>
      </c>
      <c r="BX50" s="4">
        <f>SUM(BT50:BW50)</f>
        <v>0</v>
      </c>
      <c r="BY50" s="4">
        <v>0</v>
      </c>
      <c r="BZ50" s="4">
        <v>0</v>
      </c>
      <c r="CA50" s="4">
        <v>0</v>
      </c>
      <c r="CB50" s="4">
        <f>SUM(BY50:CA50)</f>
        <v>0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1190935.1</v>
      </c>
      <c r="CH50" s="72">
        <f>I50-AG50+AY50+AH50+BQ50</f>
        <v>19212.85</v>
      </c>
      <c r="CI50" s="35">
        <f>CH50+K50</f>
        <v>19212.85</v>
      </c>
      <c r="CJ50" s="57" t="str">
        <f>IF(CF50=0,"-",(CD50/CF50))</f>
        <v>-</v>
      </c>
      <c r="CK50" s="57" t="str">
        <f>IF(CF50=0,"-",(CE50/CF50))</f>
        <v>-</v>
      </c>
      <c r="CL50" s="148">
        <f>IF(CG50=0,"-",(CD50/CG50*1))</f>
        <v>0</v>
      </c>
      <c r="CM50" s="148" t="str">
        <f>IF(CE50=0,"-",(CE50/CG50))</f>
        <v>-</v>
      </c>
      <c r="CN50" s="148">
        <f>IF(CG50=0,"-",(CH50/CG50))</f>
        <v>0.01613257515040072</v>
      </c>
      <c r="CO50" s="148">
        <f>IF(CG50=0,"-",(CI50/CG50))</f>
        <v>0.01613257515040072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0</v>
      </c>
      <c r="CT50" s="76">
        <f>Y50-K50-L50-V50</f>
        <v>1190935.1</v>
      </c>
      <c r="CU50" s="76">
        <f>AU50-AR50</f>
        <v>1190935.1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>
        <f>CS50/B50</f>
        <v>0</v>
      </c>
      <c r="DG50" s="76">
        <f>CH50/B50</f>
        <v>10.346176628971458</v>
      </c>
      <c r="DH50" s="76">
        <f>DE50/B50</f>
        <v>0</v>
      </c>
      <c r="DI50" s="77">
        <f>CZ50/B50</f>
        <v>0</v>
      </c>
      <c r="DJ50" s="72">
        <f>DB50/B50</f>
        <v>0</v>
      </c>
      <c r="DK50" s="151">
        <f>CA50-BW50-BU50</f>
        <v>0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1433</v>
      </c>
      <c r="C60" s="60">
        <f aca="true" t="shared" si="118" ref="C60:BN60">C10+C20+C26</f>
        <v>3141171</v>
      </c>
      <c r="D60" s="60">
        <f>(D10+D20+D26)/3</f>
        <v>2195.8633333333332</v>
      </c>
      <c r="E60" s="60">
        <f>(E10+E20+E26)/3</f>
        <v>63.68666666666667</v>
      </c>
      <c r="F60" s="60">
        <f>(F10+F20+F26)/3</f>
        <v>10.666666666666666</v>
      </c>
      <c r="G60" s="18">
        <f t="shared" si="118"/>
        <v>1050397.3</v>
      </c>
      <c r="H60" s="18">
        <f t="shared" si="118"/>
        <v>220779.69999999998</v>
      </c>
      <c r="I60" s="18">
        <f t="shared" si="118"/>
        <v>117240.25</v>
      </c>
      <c r="J60" s="18">
        <f t="shared" si="118"/>
        <v>0</v>
      </c>
      <c r="K60" s="18">
        <f t="shared" si="118"/>
        <v>194397.25</v>
      </c>
      <c r="L60" s="18">
        <f t="shared" si="118"/>
        <v>0</v>
      </c>
      <c r="M60" s="18">
        <f t="shared" si="118"/>
        <v>194397.25</v>
      </c>
      <c r="N60" s="18">
        <f t="shared" si="118"/>
        <v>0</v>
      </c>
      <c r="O60" s="18">
        <f t="shared" si="118"/>
        <v>336313.7</v>
      </c>
      <c r="P60" s="18">
        <f t="shared" si="118"/>
        <v>6000</v>
      </c>
      <c r="Q60" s="18">
        <f t="shared" si="118"/>
        <v>0</v>
      </c>
      <c r="R60" s="18">
        <f t="shared" si="118"/>
        <v>0</v>
      </c>
      <c r="S60" s="18">
        <f t="shared" si="118"/>
        <v>0</v>
      </c>
      <c r="T60" s="18">
        <f t="shared" si="118"/>
        <v>0</v>
      </c>
      <c r="U60" s="18">
        <f t="shared" si="118"/>
        <v>0</v>
      </c>
      <c r="V60" s="18">
        <f t="shared" si="118"/>
        <v>0</v>
      </c>
      <c r="W60" s="18">
        <f t="shared" si="118"/>
        <v>0</v>
      </c>
      <c r="X60" s="18">
        <f t="shared" si="118"/>
        <v>0</v>
      </c>
      <c r="Y60" s="18">
        <f t="shared" si="118"/>
        <v>1925128.1999999997</v>
      </c>
      <c r="Z60" s="18">
        <f t="shared" si="118"/>
        <v>420744.35</v>
      </c>
      <c r="AA60" s="18">
        <f t="shared" si="118"/>
        <v>44964.049999999996</v>
      </c>
      <c r="AB60" s="18">
        <f t="shared" si="118"/>
        <v>0</v>
      </c>
      <c r="AC60" s="18">
        <f t="shared" si="118"/>
        <v>19700</v>
      </c>
      <c r="AD60" s="18">
        <f t="shared" si="118"/>
        <v>0</v>
      </c>
      <c r="AE60" s="18">
        <f t="shared" si="118"/>
        <v>485408.4</v>
      </c>
      <c r="AF60" s="18">
        <f t="shared" si="118"/>
        <v>0</v>
      </c>
      <c r="AG60" s="18">
        <f t="shared" si="118"/>
        <v>4380</v>
      </c>
      <c r="AH60" s="18">
        <f t="shared" si="118"/>
        <v>0</v>
      </c>
      <c r="AI60" s="18">
        <f t="shared" si="118"/>
        <v>20817.6</v>
      </c>
      <c r="AJ60" s="18">
        <f t="shared" si="118"/>
        <v>607408</v>
      </c>
      <c r="AK60" s="18">
        <f t="shared" si="118"/>
        <v>45853.7</v>
      </c>
      <c r="AL60" s="18">
        <f t="shared" si="118"/>
        <v>578791.85</v>
      </c>
      <c r="AM60" s="18">
        <f t="shared" si="118"/>
        <v>0</v>
      </c>
      <c r="AN60" s="18">
        <f t="shared" si="118"/>
        <v>0</v>
      </c>
      <c r="AO60" s="18">
        <f t="shared" si="118"/>
        <v>0</v>
      </c>
      <c r="AP60" s="18">
        <f t="shared" si="118"/>
        <v>0</v>
      </c>
      <c r="AQ60" s="18">
        <f t="shared" si="118"/>
        <v>0</v>
      </c>
      <c r="AR60" s="18">
        <f t="shared" si="118"/>
        <v>0</v>
      </c>
      <c r="AS60" s="18">
        <f t="shared" si="118"/>
        <v>0</v>
      </c>
      <c r="AT60" s="18">
        <f t="shared" si="118"/>
        <v>0</v>
      </c>
      <c r="AU60" s="18">
        <f t="shared" si="118"/>
        <v>1742659.55</v>
      </c>
      <c r="AV60" s="18">
        <f t="shared" si="118"/>
        <v>0</v>
      </c>
      <c r="AW60" s="18">
        <f t="shared" si="118"/>
        <v>182468.65</v>
      </c>
      <c r="AX60" s="18">
        <f t="shared" si="118"/>
        <v>-1.1641532182693481E-10</v>
      </c>
      <c r="AY60" s="18">
        <f t="shared" si="118"/>
        <v>0</v>
      </c>
      <c r="AZ60" s="18">
        <f t="shared" si="118"/>
        <v>0</v>
      </c>
      <c r="BA60" s="18">
        <f t="shared" si="118"/>
        <v>0</v>
      </c>
      <c r="BB60" s="18">
        <f t="shared" si="118"/>
        <v>0</v>
      </c>
      <c r="BC60" s="18">
        <f t="shared" si="118"/>
        <v>0</v>
      </c>
      <c r="BD60" s="18">
        <f t="shared" si="118"/>
        <v>0</v>
      </c>
      <c r="BE60" s="18">
        <f t="shared" si="118"/>
        <v>0</v>
      </c>
      <c r="BF60" s="18">
        <f t="shared" si="118"/>
        <v>0</v>
      </c>
      <c r="BG60" s="18">
        <f t="shared" si="118"/>
        <v>0</v>
      </c>
      <c r="BH60" s="18">
        <f t="shared" si="118"/>
        <v>0</v>
      </c>
      <c r="BI60" s="18">
        <f t="shared" si="118"/>
        <v>0</v>
      </c>
      <c r="BJ60" s="18">
        <f t="shared" si="118"/>
        <v>0</v>
      </c>
      <c r="BK60" s="18">
        <f t="shared" si="118"/>
        <v>0</v>
      </c>
      <c r="BL60" s="18">
        <f t="shared" si="118"/>
        <v>0</v>
      </c>
      <c r="BM60" s="18">
        <f t="shared" si="118"/>
        <v>0</v>
      </c>
      <c r="BN60" s="18">
        <f t="shared" si="118"/>
        <v>0</v>
      </c>
      <c r="BO60" s="18">
        <f aca="true" t="shared" si="119" ref="BO60:CI60">BO10+BO20+BO26</f>
        <v>0</v>
      </c>
      <c r="BP60" s="18">
        <f t="shared" si="119"/>
        <v>0</v>
      </c>
      <c r="BQ60" s="18">
        <f t="shared" si="119"/>
        <v>0</v>
      </c>
      <c r="BR60" s="18">
        <f t="shared" si="119"/>
        <v>0</v>
      </c>
      <c r="BS60" s="18">
        <f t="shared" si="119"/>
        <v>0</v>
      </c>
      <c r="BT60" s="18">
        <f t="shared" si="119"/>
        <v>1252797.75</v>
      </c>
      <c r="BU60" s="18">
        <f t="shared" si="119"/>
        <v>2476289.2</v>
      </c>
      <c r="BV60" s="18">
        <f t="shared" si="119"/>
        <v>0</v>
      </c>
      <c r="BW60" s="18">
        <f t="shared" si="119"/>
        <v>410771.62</v>
      </c>
      <c r="BX60" s="18">
        <f t="shared" si="119"/>
        <v>4139858.5700000003</v>
      </c>
      <c r="BY60" s="18">
        <f t="shared" si="119"/>
        <v>4095774.42</v>
      </c>
      <c r="BZ60" s="18">
        <f t="shared" si="119"/>
        <v>0</v>
      </c>
      <c r="CA60" s="18">
        <f t="shared" si="119"/>
        <v>44084.15</v>
      </c>
      <c r="CB60" s="18">
        <f t="shared" si="119"/>
        <v>4139858.5699999994</v>
      </c>
      <c r="CC60" s="18">
        <f t="shared" si="119"/>
        <v>0</v>
      </c>
      <c r="CD60" s="18">
        <f t="shared" si="119"/>
        <v>11928.600000000006</v>
      </c>
      <c r="CE60" s="18">
        <f t="shared" si="119"/>
        <v>11928.600000000006</v>
      </c>
      <c r="CF60" s="18">
        <f t="shared" si="119"/>
        <v>0</v>
      </c>
      <c r="CG60" s="18">
        <f t="shared" si="119"/>
        <v>1742659.55</v>
      </c>
      <c r="CH60" s="18">
        <f t="shared" si="119"/>
        <v>112860.25</v>
      </c>
      <c r="CI60" s="18">
        <f t="shared" si="119"/>
        <v>307257.5</v>
      </c>
      <c r="CJ60" s="156" t="e">
        <f aca="true" t="shared" si="120" ref="CJ60:CJ65">CD60/CF60</f>
        <v>#DIV/0!</v>
      </c>
      <c r="CK60" s="156" t="e">
        <f aca="true" t="shared" si="121" ref="CK60:CK65">CE60/CF60</f>
        <v>#DIV/0!</v>
      </c>
      <c r="CL60" s="156">
        <f aca="true" t="shared" si="122" ref="CL60:CL65">CD60/CG60*1</f>
        <v>0.006845054732578148</v>
      </c>
      <c r="CM60" s="156">
        <f aca="true" t="shared" si="123" ref="CM60:CM65">CE60/CG60</f>
        <v>0.006845054732578148</v>
      </c>
      <c r="CN60" s="156">
        <f aca="true" t="shared" si="124" ref="CN60:CN65">CH60/CG60</f>
        <v>0.06476322354529891</v>
      </c>
      <c r="CO60" s="156">
        <f aca="true" t="shared" si="125" ref="CO60:CO65">CI60/CG60</f>
        <v>0.17631527626839102</v>
      </c>
      <c r="CP60" s="156">
        <f aca="true" t="shared" si="126" ref="CP60:CP65">(K60+L60)/(BU60+K60+L60)</f>
        <v>0.07278924487747335</v>
      </c>
      <c r="CQ60" s="156">
        <f aca="true" t="shared" si="127" ref="CQ60:CQ65">(K60)/(BU60+K60+L60)</f>
        <v>0.07278924487747335</v>
      </c>
      <c r="CR60" s="18">
        <f aca="true" t="shared" si="128" ref="CR60:CR65">CS60/CE60</f>
        <v>-238.3328026759216</v>
      </c>
      <c r="CS60" s="18">
        <f aca="true" t="shared" si="129" ref="CS60:CS65">BT60-BY60</f>
        <v>-2842976.67</v>
      </c>
      <c r="CT60" s="18">
        <f aca="true" t="shared" si="130" ref="CT60:CT65">Y60-K60-L60-V60</f>
        <v>1730730.9499999997</v>
      </c>
      <c r="CU60" s="18">
        <f aca="true" t="shared" si="131" ref="CU60:CU65">AU60-AR60</f>
        <v>1742659.55</v>
      </c>
      <c r="CV60" s="18">
        <f aca="true" t="shared" si="132" ref="CV60:CV65">CU60-CT60</f>
        <v>11928.600000000326</v>
      </c>
      <c r="CW60" s="18">
        <f aca="true" t="shared" si="133" ref="CW60:CW65">-V60+AR60</f>
        <v>0</v>
      </c>
      <c r="CX60" s="18">
        <f aca="true" t="shared" si="134" ref="CX60:CX65">CV60+CW60</f>
        <v>11928.600000000326</v>
      </c>
      <c r="CY60" s="18">
        <f aca="true" t="shared" si="135" ref="CY60:CY65">CX60-K60-L60</f>
        <v>-182468.64999999967</v>
      </c>
      <c r="CZ60" s="18">
        <f aca="true" t="shared" si="136" ref="CZ60:CZ65">BR60-BP60</f>
        <v>0</v>
      </c>
      <c r="DA60" s="18">
        <f aca="true" t="shared" si="137" ref="DA60:DA65">K60+L60</f>
        <v>194397.25</v>
      </c>
      <c r="DB60" s="18">
        <f aca="true" t="shared" si="138" ref="DB60:DB65">-CZ60+DA60+CY60</f>
        <v>11928.600000000326</v>
      </c>
      <c r="DC60" s="18">
        <f aca="true" t="shared" si="139" ref="DC60:DC65">-BP60-DA60</f>
        <v>-194397.25</v>
      </c>
      <c r="DD60" s="18">
        <f aca="true" t="shared" si="140" ref="DD60:DD65">DB60+DC60+BR60</f>
        <v>-182468.64999999967</v>
      </c>
      <c r="DE60" s="18">
        <f aca="true" t="shared" si="141" ref="DE60:DE65">Z60+AA60+AB60</f>
        <v>465708.39999999997</v>
      </c>
      <c r="DF60" s="18">
        <f aca="true" t="shared" si="142" ref="DF60:DF65">CS60/B60</f>
        <v>-1983.9334752267969</v>
      </c>
      <c r="DG60" s="18">
        <f aca="true" t="shared" si="143" ref="DG60:DG65">CH60/B60</f>
        <v>78.75802512212142</v>
      </c>
      <c r="DH60" s="18">
        <f aca="true" t="shared" si="144" ref="DH60:DH65">DE60/B60</f>
        <v>324.98841591067685</v>
      </c>
      <c r="DI60" s="18">
        <f aca="true" t="shared" si="145" ref="DI60:DI65">CZ60/B60</f>
        <v>0</v>
      </c>
      <c r="DJ60" s="18">
        <f aca="true" t="shared" si="146" ref="DJ60:DJ65">DB60/B60</f>
        <v>8.32421493370574</v>
      </c>
      <c r="DK60" s="18">
        <f aca="true" t="shared" si="147" ref="DK60:DK65">CA60-BW60-BU60</f>
        <v>-2842976.67</v>
      </c>
    </row>
    <row r="61" spans="1:115" ht="12.75">
      <c r="A61" s="3" t="s">
        <v>260</v>
      </c>
      <c r="B61" s="60">
        <f>B4+B19+B21+B24+B25</f>
        <v>14167</v>
      </c>
      <c r="C61" s="60">
        <f aca="true" t="shared" si="148" ref="C61:BN61">C4+C19+C21+C24+C25</f>
        <v>48194322</v>
      </c>
      <c r="D61" s="60">
        <f>(D4+D19+D21+D24+D25)/5</f>
        <v>3174.2380000000003</v>
      </c>
      <c r="E61" s="60">
        <f>(E4+E19+E21+E24+E25)/5</f>
        <v>92.05799999999998</v>
      </c>
      <c r="F61" s="60">
        <f>(F4+F19+F21+F24+F25)/5</f>
        <v>12.6</v>
      </c>
      <c r="G61" s="18">
        <f t="shared" si="148"/>
        <v>12455712.4</v>
      </c>
      <c r="H61" s="18">
        <f t="shared" si="148"/>
        <v>2466309.9699999997</v>
      </c>
      <c r="I61" s="18">
        <f t="shared" si="148"/>
        <v>899058.1</v>
      </c>
      <c r="J61" s="18">
        <f t="shared" si="148"/>
        <v>0</v>
      </c>
      <c r="K61" s="18">
        <f t="shared" si="148"/>
        <v>789535</v>
      </c>
      <c r="L61" s="18">
        <f t="shared" si="148"/>
        <v>560180</v>
      </c>
      <c r="M61" s="18">
        <f t="shared" si="148"/>
        <v>1349715</v>
      </c>
      <c r="N61" s="18">
        <f t="shared" si="148"/>
        <v>0</v>
      </c>
      <c r="O61" s="18">
        <f t="shared" si="148"/>
        <v>1852872.9</v>
      </c>
      <c r="P61" s="18">
        <f t="shared" si="148"/>
        <v>12546.3</v>
      </c>
      <c r="Q61" s="18">
        <f t="shared" si="148"/>
        <v>3000</v>
      </c>
      <c r="R61" s="18">
        <f t="shared" si="148"/>
        <v>0</v>
      </c>
      <c r="S61" s="18">
        <f t="shared" si="148"/>
        <v>0</v>
      </c>
      <c r="T61" s="18">
        <f t="shared" si="148"/>
        <v>0</v>
      </c>
      <c r="U61" s="18">
        <f t="shared" si="148"/>
        <v>0</v>
      </c>
      <c r="V61" s="18">
        <f t="shared" si="148"/>
        <v>0</v>
      </c>
      <c r="W61" s="18">
        <f t="shared" si="148"/>
        <v>0</v>
      </c>
      <c r="X61" s="18">
        <f t="shared" si="148"/>
        <v>3218750</v>
      </c>
      <c r="Y61" s="18">
        <f t="shared" si="148"/>
        <v>22257964.67</v>
      </c>
      <c r="Z61" s="18">
        <f t="shared" si="148"/>
        <v>5402473.75</v>
      </c>
      <c r="AA61" s="18">
        <f t="shared" si="148"/>
        <v>1453106.6</v>
      </c>
      <c r="AB61" s="18">
        <f t="shared" si="148"/>
        <v>29512</v>
      </c>
      <c r="AC61" s="18">
        <f t="shared" si="148"/>
        <v>283512.85</v>
      </c>
      <c r="AD61" s="18">
        <f t="shared" si="148"/>
        <v>0</v>
      </c>
      <c r="AE61" s="18">
        <f t="shared" si="148"/>
        <v>7168605.199999999</v>
      </c>
      <c r="AF61" s="18">
        <f t="shared" si="148"/>
        <v>0</v>
      </c>
      <c r="AG61" s="18">
        <f t="shared" si="148"/>
        <v>29323.399999999998</v>
      </c>
      <c r="AH61" s="18">
        <f t="shared" si="148"/>
        <v>0</v>
      </c>
      <c r="AI61" s="18">
        <f t="shared" si="148"/>
        <v>241445.15</v>
      </c>
      <c r="AJ61" s="18">
        <f t="shared" si="148"/>
        <v>5595141</v>
      </c>
      <c r="AK61" s="18">
        <f t="shared" si="148"/>
        <v>868714.95</v>
      </c>
      <c r="AL61" s="18">
        <f t="shared" si="148"/>
        <v>5818868.75</v>
      </c>
      <c r="AM61" s="18">
        <f t="shared" si="148"/>
        <v>61.75</v>
      </c>
      <c r="AN61" s="18">
        <f t="shared" si="148"/>
        <v>0</v>
      </c>
      <c r="AO61" s="18">
        <f t="shared" si="148"/>
        <v>0</v>
      </c>
      <c r="AP61" s="18">
        <f t="shared" si="148"/>
        <v>0</v>
      </c>
      <c r="AQ61" s="18">
        <f t="shared" si="148"/>
        <v>0</v>
      </c>
      <c r="AR61" s="18">
        <f t="shared" si="148"/>
        <v>30000</v>
      </c>
      <c r="AS61" s="18">
        <f t="shared" si="148"/>
        <v>30000</v>
      </c>
      <c r="AT61" s="18">
        <f t="shared" si="148"/>
        <v>3318709.4</v>
      </c>
      <c r="AU61" s="18">
        <f t="shared" si="148"/>
        <v>23070869.6</v>
      </c>
      <c r="AV61" s="18">
        <f t="shared" si="148"/>
        <v>1023483.98</v>
      </c>
      <c r="AW61" s="18">
        <f t="shared" si="148"/>
        <v>210579.05</v>
      </c>
      <c r="AX61" s="18">
        <f t="shared" si="148"/>
        <v>3.892637323588133E-10</v>
      </c>
      <c r="AY61" s="18">
        <f t="shared" si="148"/>
        <v>31247.45</v>
      </c>
      <c r="AZ61" s="18">
        <f t="shared" si="148"/>
        <v>111691.4</v>
      </c>
      <c r="BA61" s="18">
        <f t="shared" si="148"/>
        <v>0</v>
      </c>
      <c r="BB61" s="18">
        <f t="shared" si="148"/>
        <v>0</v>
      </c>
      <c r="BC61" s="18">
        <f t="shared" si="148"/>
        <v>0</v>
      </c>
      <c r="BD61" s="18">
        <f t="shared" si="148"/>
        <v>2479</v>
      </c>
      <c r="BE61" s="18">
        <f t="shared" si="148"/>
        <v>0</v>
      </c>
      <c r="BF61" s="18">
        <f t="shared" si="148"/>
        <v>114170.4</v>
      </c>
      <c r="BG61" s="18">
        <f t="shared" si="148"/>
        <v>46495.4</v>
      </c>
      <c r="BH61" s="18">
        <f t="shared" si="148"/>
        <v>0</v>
      </c>
      <c r="BI61" s="18">
        <f t="shared" si="148"/>
        <v>3835</v>
      </c>
      <c r="BJ61" s="18">
        <f t="shared" si="148"/>
        <v>0</v>
      </c>
      <c r="BK61" s="18">
        <f t="shared" si="148"/>
        <v>3000</v>
      </c>
      <c r="BL61" s="18">
        <f t="shared" si="148"/>
        <v>0</v>
      </c>
      <c r="BM61" s="18">
        <f t="shared" si="148"/>
        <v>960</v>
      </c>
      <c r="BN61" s="18">
        <f t="shared" si="148"/>
        <v>0</v>
      </c>
      <c r="BO61" s="18">
        <f aca="true" t="shared" si="149" ref="BO61:CI61">BO4+BO19+BO21+BO24+BO25</f>
        <v>54290.4</v>
      </c>
      <c r="BP61" s="18">
        <f t="shared" si="149"/>
        <v>54290.4</v>
      </c>
      <c r="BQ61" s="18">
        <f t="shared" si="149"/>
        <v>0</v>
      </c>
      <c r="BR61" s="18">
        <f t="shared" si="149"/>
        <v>114170.4</v>
      </c>
      <c r="BS61" s="18">
        <f t="shared" si="149"/>
        <v>0</v>
      </c>
      <c r="BT61" s="18">
        <f t="shared" si="149"/>
        <v>12259085.6</v>
      </c>
      <c r="BU61" s="18">
        <f t="shared" si="149"/>
        <v>13092914.450000001</v>
      </c>
      <c r="BV61" s="18">
        <f t="shared" si="149"/>
        <v>0</v>
      </c>
      <c r="BW61" s="18">
        <f t="shared" si="149"/>
        <v>1150092.77</v>
      </c>
      <c r="BX61" s="18">
        <f t="shared" si="149"/>
        <v>26502092.82</v>
      </c>
      <c r="BY61" s="18">
        <f t="shared" si="149"/>
        <v>25417270.819999997</v>
      </c>
      <c r="BZ61" s="18">
        <f t="shared" si="149"/>
        <v>222000</v>
      </c>
      <c r="CA61" s="18">
        <f t="shared" si="149"/>
        <v>862822</v>
      </c>
      <c r="CB61" s="18">
        <f t="shared" si="149"/>
        <v>26502092.819999997</v>
      </c>
      <c r="CC61" s="18">
        <f t="shared" si="149"/>
        <v>0</v>
      </c>
      <c r="CD61" s="18">
        <f t="shared" si="149"/>
        <v>2162619.93</v>
      </c>
      <c r="CE61" s="18">
        <f t="shared" si="149"/>
        <v>2132619.93</v>
      </c>
      <c r="CF61" s="18">
        <f t="shared" si="149"/>
        <v>59879.99999999999</v>
      </c>
      <c r="CG61" s="18">
        <f t="shared" si="149"/>
        <v>19722098.45</v>
      </c>
      <c r="CH61" s="18">
        <f t="shared" si="149"/>
        <v>900982.15</v>
      </c>
      <c r="CI61" s="18">
        <f t="shared" si="149"/>
        <v>1690517.1500000001</v>
      </c>
      <c r="CJ61" s="156">
        <f t="shared" si="120"/>
        <v>36.11589729458919</v>
      </c>
      <c r="CK61" s="156">
        <f t="shared" si="121"/>
        <v>35.61489529058117</v>
      </c>
      <c r="CL61" s="156">
        <f t="shared" si="122"/>
        <v>0.10965465644960312</v>
      </c>
      <c r="CM61" s="156">
        <f t="shared" si="123"/>
        <v>0.10813352014273107</v>
      </c>
      <c r="CN61" s="156">
        <f t="shared" si="124"/>
        <v>0.045683888673621345</v>
      </c>
      <c r="CO61" s="156">
        <f t="shared" si="125"/>
        <v>0.08571690047516217</v>
      </c>
      <c r="CP61" s="156">
        <f t="shared" si="126"/>
        <v>0.09345355045441534</v>
      </c>
      <c r="CQ61" s="156">
        <f t="shared" si="127"/>
        <v>0.05466698448044722</v>
      </c>
      <c r="CR61" s="18">
        <f t="shared" si="128"/>
        <v>-6.169962605573135</v>
      </c>
      <c r="CS61" s="18">
        <f t="shared" si="129"/>
        <v>-13158185.219999997</v>
      </c>
      <c r="CT61" s="18">
        <f t="shared" si="130"/>
        <v>20908249.67</v>
      </c>
      <c r="CU61" s="18">
        <f t="shared" si="131"/>
        <v>23040869.6</v>
      </c>
      <c r="CV61" s="18">
        <f t="shared" si="132"/>
        <v>2132619.9299999997</v>
      </c>
      <c r="CW61" s="18">
        <f t="shared" si="133"/>
        <v>30000</v>
      </c>
      <c r="CX61" s="18">
        <f t="shared" si="134"/>
        <v>2162619.9299999997</v>
      </c>
      <c r="CY61" s="18">
        <f t="shared" si="135"/>
        <v>812904.9299999997</v>
      </c>
      <c r="CZ61" s="18">
        <f t="shared" si="136"/>
        <v>59879.99999999999</v>
      </c>
      <c r="DA61" s="18">
        <f t="shared" si="137"/>
        <v>1349715</v>
      </c>
      <c r="DB61" s="18">
        <f t="shared" si="138"/>
        <v>2102739.9299999997</v>
      </c>
      <c r="DC61" s="18">
        <f t="shared" si="139"/>
        <v>-1404005.4</v>
      </c>
      <c r="DD61" s="18">
        <f t="shared" si="140"/>
        <v>812904.9299999998</v>
      </c>
      <c r="DE61" s="18">
        <f t="shared" si="141"/>
        <v>6885092.35</v>
      </c>
      <c r="DF61" s="18">
        <f t="shared" si="142"/>
        <v>-928.7912204418717</v>
      </c>
      <c r="DG61" s="18">
        <f t="shared" si="143"/>
        <v>63.59724359426837</v>
      </c>
      <c r="DH61" s="18">
        <f t="shared" si="144"/>
        <v>485.9950836450907</v>
      </c>
      <c r="DI61" s="18">
        <f t="shared" si="145"/>
        <v>4.226724077080539</v>
      </c>
      <c r="DJ61" s="18">
        <f t="shared" si="146"/>
        <v>148.42520858332742</v>
      </c>
      <c r="DK61" s="18">
        <f t="shared" si="147"/>
        <v>-13380185.22</v>
      </c>
    </row>
    <row r="62" spans="1:115" ht="12.75">
      <c r="A62" s="3" t="s">
        <v>261</v>
      </c>
      <c r="B62" s="60">
        <f>B9+B11+B22+B27</f>
        <v>11827</v>
      </c>
      <c r="C62" s="60">
        <f aca="true" t="shared" si="150" ref="C62:BN62">C9+C11+C22+C27</f>
        <v>43636147</v>
      </c>
      <c r="D62" s="60">
        <f>(D9+D11+D22+D27)/4</f>
        <v>3406.0874999999996</v>
      </c>
      <c r="E62" s="60">
        <f>(E9+E11+E22+E27)/4</f>
        <v>98.78</v>
      </c>
      <c r="F62" s="60">
        <f>(F9+F11+F22+F27)/4</f>
        <v>12.25</v>
      </c>
      <c r="G62" s="18">
        <f t="shared" si="150"/>
        <v>8463272.4</v>
      </c>
      <c r="H62" s="18">
        <f t="shared" si="150"/>
        <v>1486178.0500000003</v>
      </c>
      <c r="I62" s="18">
        <f t="shared" si="150"/>
        <v>604447.7</v>
      </c>
      <c r="J62" s="18">
        <f t="shared" si="150"/>
        <v>42499.99999999999</v>
      </c>
      <c r="K62" s="18">
        <f t="shared" si="150"/>
        <v>1037642</v>
      </c>
      <c r="L62" s="18">
        <f t="shared" si="150"/>
        <v>108161.95</v>
      </c>
      <c r="M62" s="18">
        <f t="shared" si="150"/>
        <v>1145803.95</v>
      </c>
      <c r="N62" s="18">
        <f t="shared" si="150"/>
        <v>0</v>
      </c>
      <c r="O62" s="18">
        <f t="shared" si="150"/>
        <v>3086594.7999999993</v>
      </c>
      <c r="P62" s="18">
        <f t="shared" si="150"/>
        <v>31187.5</v>
      </c>
      <c r="Q62" s="18">
        <f t="shared" si="150"/>
        <v>0</v>
      </c>
      <c r="R62" s="18">
        <f t="shared" si="150"/>
        <v>0</v>
      </c>
      <c r="S62" s="18">
        <f t="shared" si="150"/>
        <v>0</v>
      </c>
      <c r="T62" s="18">
        <f t="shared" si="150"/>
        <v>415570</v>
      </c>
      <c r="U62" s="18">
        <f t="shared" si="150"/>
        <v>0</v>
      </c>
      <c r="V62" s="18">
        <f t="shared" si="150"/>
        <v>0</v>
      </c>
      <c r="W62" s="18">
        <f t="shared" si="150"/>
        <v>415570</v>
      </c>
      <c r="X62" s="18">
        <f t="shared" si="150"/>
        <v>0</v>
      </c>
      <c r="Y62" s="18">
        <f t="shared" si="150"/>
        <v>15275554.4</v>
      </c>
      <c r="Z62" s="18">
        <f t="shared" si="150"/>
        <v>6789585.3</v>
      </c>
      <c r="AA62" s="18">
        <f t="shared" si="150"/>
        <v>564984.95</v>
      </c>
      <c r="AB62" s="18">
        <f t="shared" si="150"/>
        <v>0</v>
      </c>
      <c r="AC62" s="18">
        <f t="shared" si="150"/>
        <v>467010.64999999997</v>
      </c>
      <c r="AD62" s="18">
        <f t="shared" si="150"/>
        <v>0</v>
      </c>
      <c r="AE62" s="18">
        <f t="shared" si="150"/>
        <v>7821580.900000001</v>
      </c>
      <c r="AF62" s="18">
        <f t="shared" si="150"/>
        <v>0</v>
      </c>
      <c r="AG62" s="18">
        <f t="shared" si="150"/>
        <v>265809.39999999997</v>
      </c>
      <c r="AH62" s="18">
        <f t="shared" si="150"/>
        <v>0</v>
      </c>
      <c r="AI62" s="18">
        <f t="shared" si="150"/>
        <v>312125.75</v>
      </c>
      <c r="AJ62" s="18">
        <f t="shared" si="150"/>
        <v>3418178.5</v>
      </c>
      <c r="AK62" s="18">
        <f t="shared" si="150"/>
        <v>273931.6</v>
      </c>
      <c r="AL62" s="18">
        <f t="shared" si="150"/>
        <v>3518779.8000000003</v>
      </c>
      <c r="AM62" s="18">
        <f t="shared" si="150"/>
        <v>0</v>
      </c>
      <c r="AN62" s="18">
        <f t="shared" si="150"/>
        <v>0</v>
      </c>
      <c r="AO62" s="18">
        <f t="shared" si="150"/>
        <v>0</v>
      </c>
      <c r="AP62" s="18">
        <f t="shared" si="150"/>
        <v>0</v>
      </c>
      <c r="AQ62" s="18">
        <f t="shared" si="150"/>
        <v>0</v>
      </c>
      <c r="AR62" s="18">
        <f t="shared" si="150"/>
        <v>0</v>
      </c>
      <c r="AS62" s="18">
        <f t="shared" si="150"/>
        <v>0</v>
      </c>
      <c r="AT62" s="18">
        <f t="shared" si="150"/>
        <v>146424</v>
      </c>
      <c r="AU62" s="18">
        <f t="shared" si="150"/>
        <v>15756829.950000001</v>
      </c>
      <c r="AV62" s="18">
        <f t="shared" si="150"/>
        <v>481275.55000000005</v>
      </c>
      <c r="AW62" s="18">
        <f t="shared" si="150"/>
        <v>0</v>
      </c>
      <c r="AX62" s="18">
        <f t="shared" si="150"/>
        <v>-3.03134584100917E-09</v>
      </c>
      <c r="AY62" s="18">
        <f t="shared" si="150"/>
        <v>0</v>
      </c>
      <c r="AZ62" s="18">
        <f t="shared" si="150"/>
        <v>180565.65</v>
      </c>
      <c r="BA62" s="18">
        <f t="shared" si="150"/>
        <v>0</v>
      </c>
      <c r="BB62" s="18">
        <f t="shared" si="150"/>
        <v>0</v>
      </c>
      <c r="BC62" s="18">
        <f t="shared" si="150"/>
        <v>0</v>
      </c>
      <c r="BD62" s="18">
        <f t="shared" si="150"/>
        <v>0</v>
      </c>
      <c r="BE62" s="18">
        <f t="shared" si="150"/>
        <v>0</v>
      </c>
      <c r="BF62" s="18">
        <f t="shared" si="150"/>
        <v>180565.65</v>
      </c>
      <c r="BG62" s="18">
        <f t="shared" si="150"/>
        <v>0</v>
      </c>
      <c r="BH62" s="18">
        <f t="shared" si="150"/>
        <v>0</v>
      </c>
      <c r="BI62" s="18">
        <f t="shared" si="150"/>
        <v>0</v>
      </c>
      <c r="BJ62" s="18">
        <f t="shared" si="150"/>
        <v>0</v>
      </c>
      <c r="BK62" s="18">
        <f t="shared" si="150"/>
        <v>0</v>
      </c>
      <c r="BL62" s="18">
        <f t="shared" si="150"/>
        <v>0</v>
      </c>
      <c r="BM62" s="18">
        <f t="shared" si="150"/>
        <v>27969.65</v>
      </c>
      <c r="BN62" s="18">
        <f t="shared" si="150"/>
        <v>0</v>
      </c>
      <c r="BO62" s="18">
        <f aca="true" t="shared" si="151" ref="BO62:CI62">BO9+BO11+BO22+BO27</f>
        <v>27969.65</v>
      </c>
      <c r="BP62" s="18">
        <f t="shared" si="151"/>
        <v>27969.65</v>
      </c>
      <c r="BQ62" s="18">
        <f t="shared" si="151"/>
        <v>0</v>
      </c>
      <c r="BR62" s="18">
        <f t="shared" si="151"/>
        <v>180565.65</v>
      </c>
      <c r="BS62" s="18">
        <f t="shared" si="151"/>
        <v>0</v>
      </c>
      <c r="BT62" s="18">
        <f t="shared" si="151"/>
        <v>14824829.599999998</v>
      </c>
      <c r="BU62" s="18">
        <f t="shared" si="151"/>
        <v>13091111.6</v>
      </c>
      <c r="BV62" s="18">
        <f t="shared" si="151"/>
        <v>0</v>
      </c>
      <c r="BW62" s="18">
        <f t="shared" si="151"/>
        <v>0</v>
      </c>
      <c r="BX62" s="18">
        <f t="shared" si="151"/>
        <v>27915941.199999996</v>
      </c>
      <c r="BY62" s="18">
        <f t="shared" si="151"/>
        <v>26030206.54</v>
      </c>
      <c r="BZ62" s="18">
        <f t="shared" si="151"/>
        <v>771568.95</v>
      </c>
      <c r="CA62" s="18">
        <f t="shared" si="151"/>
        <v>1114165.7100000002</v>
      </c>
      <c r="CB62" s="18">
        <f t="shared" si="151"/>
        <v>27915941.200000003</v>
      </c>
      <c r="CC62" s="18">
        <f t="shared" si="151"/>
        <v>0</v>
      </c>
      <c r="CD62" s="18">
        <f t="shared" si="151"/>
        <v>1627079.5000000002</v>
      </c>
      <c r="CE62" s="18">
        <f t="shared" si="151"/>
        <v>2042649.5000000002</v>
      </c>
      <c r="CF62" s="18">
        <f t="shared" si="151"/>
        <v>152595.99999999997</v>
      </c>
      <c r="CG62" s="18">
        <f t="shared" si="151"/>
        <v>15610405.950000003</v>
      </c>
      <c r="CH62" s="18">
        <f t="shared" si="151"/>
        <v>338638.30000000005</v>
      </c>
      <c r="CI62" s="18">
        <f t="shared" si="151"/>
        <v>1376280.3</v>
      </c>
      <c r="CJ62" s="156">
        <f t="shared" si="120"/>
        <v>10.662661537654987</v>
      </c>
      <c r="CK62" s="156">
        <f t="shared" si="121"/>
        <v>13.385996356392045</v>
      </c>
      <c r="CL62" s="156">
        <f t="shared" si="122"/>
        <v>0.1042304412333364</v>
      </c>
      <c r="CM62" s="156">
        <f t="shared" si="123"/>
        <v>0.1308517860805535</v>
      </c>
      <c r="CN62" s="156">
        <f t="shared" si="124"/>
        <v>0.021693112984034858</v>
      </c>
      <c r="CO62" s="156">
        <f t="shared" si="125"/>
        <v>0.08816428633619229</v>
      </c>
      <c r="CP62" s="156">
        <f t="shared" si="126"/>
        <v>0.08048119313315727</v>
      </c>
      <c r="CQ62" s="156">
        <f t="shared" si="127"/>
        <v>0.07288390496914902</v>
      </c>
      <c r="CR62" s="18">
        <f t="shared" si="128"/>
        <v>-5.485707136735892</v>
      </c>
      <c r="CS62" s="18">
        <f t="shared" si="129"/>
        <v>-11205376.940000001</v>
      </c>
      <c r="CT62" s="18">
        <f t="shared" si="130"/>
        <v>14129750.450000001</v>
      </c>
      <c r="CU62" s="18">
        <f t="shared" si="131"/>
        <v>15756829.950000001</v>
      </c>
      <c r="CV62" s="18">
        <f t="shared" si="132"/>
        <v>1627079.5</v>
      </c>
      <c r="CW62" s="18">
        <f t="shared" si="133"/>
        <v>0</v>
      </c>
      <c r="CX62" s="18">
        <f t="shared" si="134"/>
        <v>1627079.5</v>
      </c>
      <c r="CY62" s="18">
        <f t="shared" si="135"/>
        <v>481275.55</v>
      </c>
      <c r="CZ62" s="18">
        <f t="shared" si="136"/>
        <v>152596</v>
      </c>
      <c r="DA62" s="18">
        <f t="shared" si="137"/>
        <v>1145803.95</v>
      </c>
      <c r="DB62" s="18">
        <f t="shared" si="138"/>
        <v>1474483.5</v>
      </c>
      <c r="DC62" s="18">
        <f t="shared" si="139"/>
        <v>-1173773.5999999999</v>
      </c>
      <c r="DD62" s="18">
        <f t="shared" si="140"/>
        <v>481275.55000000016</v>
      </c>
      <c r="DE62" s="18">
        <f t="shared" si="141"/>
        <v>7354570.25</v>
      </c>
      <c r="DF62" s="18">
        <f t="shared" si="142"/>
        <v>-947.4403432823202</v>
      </c>
      <c r="DG62" s="18">
        <f t="shared" si="143"/>
        <v>28.632645641329166</v>
      </c>
      <c r="DH62" s="18">
        <f t="shared" si="144"/>
        <v>621.8457977509089</v>
      </c>
      <c r="DI62" s="18">
        <f t="shared" si="145"/>
        <v>12.902342098587976</v>
      </c>
      <c r="DJ62" s="18">
        <f t="shared" si="146"/>
        <v>124.67096474169274</v>
      </c>
      <c r="DK62" s="18">
        <f t="shared" si="147"/>
        <v>-11976945.889999999</v>
      </c>
    </row>
    <row r="63" spans="1:115" ht="12.75">
      <c r="A63" s="3" t="s">
        <v>262</v>
      </c>
      <c r="B63" s="60">
        <f>B7+B8+B17</f>
        <v>1857</v>
      </c>
      <c r="C63" s="60">
        <f aca="true" t="shared" si="152" ref="C63:BN63">C7+C8+C17</f>
        <v>5307278</v>
      </c>
      <c r="D63" s="60">
        <f>(D7+D8+D17)/3</f>
        <v>2794.463333333333</v>
      </c>
      <c r="E63" s="60">
        <f>(E7+E8+E17)/3</f>
        <v>81.04333333333334</v>
      </c>
      <c r="F63" s="60">
        <f>(F7+F8+F17)/3</f>
        <v>10</v>
      </c>
      <c r="G63" s="18">
        <f t="shared" si="152"/>
        <v>2338666.45</v>
      </c>
      <c r="H63" s="18">
        <f t="shared" si="152"/>
        <v>516631.70000000007</v>
      </c>
      <c r="I63" s="18">
        <f t="shared" si="152"/>
        <v>79166.85</v>
      </c>
      <c r="J63" s="18">
        <f t="shared" si="152"/>
        <v>0</v>
      </c>
      <c r="K63" s="18">
        <f t="shared" si="152"/>
        <v>372241.6</v>
      </c>
      <c r="L63" s="18">
        <f t="shared" si="152"/>
        <v>0</v>
      </c>
      <c r="M63" s="18">
        <f t="shared" si="152"/>
        <v>372241.6</v>
      </c>
      <c r="N63" s="18">
        <f t="shared" si="152"/>
        <v>0</v>
      </c>
      <c r="O63" s="18">
        <f t="shared" si="152"/>
        <v>565895.6</v>
      </c>
      <c r="P63" s="18">
        <f t="shared" si="152"/>
        <v>7500</v>
      </c>
      <c r="Q63" s="18">
        <f t="shared" si="152"/>
        <v>0</v>
      </c>
      <c r="R63" s="18">
        <f t="shared" si="152"/>
        <v>0</v>
      </c>
      <c r="S63" s="18">
        <f t="shared" si="152"/>
        <v>79072.55</v>
      </c>
      <c r="T63" s="18">
        <f t="shared" si="152"/>
        <v>0</v>
      </c>
      <c r="U63" s="18">
        <f t="shared" si="152"/>
        <v>0</v>
      </c>
      <c r="V63" s="18">
        <f t="shared" si="152"/>
        <v>0</v>
      </c>
      <c r="W63" s="18">
        <f t="shared" si="152"/>
        <v>79072.55</v>
      </c>
      <c r="X63" s="18">
        <f t="shared" si="152"/>
        <v>3104.25</v>
      </c>
      <c r="Y63" s="18">
        <f t="shared" si="152"/>
        <v>3962279</v>
      </c>
      <c r="Z63" s="18">
        <f t="shared" si="152"/>
        <v>619324.3500000001</v>
      </c>
      <c r="AA63" s="18">
        <f t="shared" si="152"/>
        <v>384809.7</v>
      </c>
      <c r="AB63" s="18">
        <f t="shared" si="152"/>
        <v>0</v>
      </c>
      <c r="AC63" s="18">
        <f t="shared" si="152"/>
        <v>24221.6</v>
      </c>
      <c r="AD63" s="18">
        <f t="shared" si="152"/>
        <v>0</v>
      </c>
      <c r="AE63" s="18">
        <f t="shared" si="152"/>
        <v>1028355.65</v>
      </c>
      <c r="AF63" s="18">
        <f t="shared" si="152"/>
        <v>0</v>
      </c>
      <c r="AG63" s="18">
        <f t="shared" si="152"/>
        <v>1392.3</v>
      </c>
      <c r="AH63" s="18">
        <f t="shared" si="152"/>
        <v>0</v>
      </c>
      <c r="AI63" s="18">
        <f t="shared" si="152"/>
        <v>41894.55</v>
      </c>
      <c r="AJ63" s="18">
        <f t="shared" si="152"/>
        <v>627971</v>
      </c>
      <c r="AK63" s="18">
        <f t="shared" si="152"/>
        <v>674336.8500000001</v>
      </c>
      <c r="AL63" s="18">
        <f t="shared" si="152"/>
        <v>825023.15</v>
      </c>
      <c r="AM63" s="18">
        <f t="shared" si="152"/>
        <v>0</v>
      </c>
      <c r="AN63" s="18">
        <f t="shared" si="152"/>
        <v>0</v>
      </c>
      <c r="AO63" s="18">
        <f t="shared" si="152"/>
        <v>0</v>
      </c>
      <c r="AP63" s="18">
        <f t="shared" si="152"/>
        <v>0</v>
      </c>
      <c r="AQ63" s="18">
        <f t="shared" si="152"/>
        <v>0</v>
      </c>
      <c r="AR63" s="18">
        <f t="shared" si="152"/>
        <v>0</v>
      </c>
      <c r="AS63" s="18">
        <f t="shared" si="152"/>
        <v>0</v>
      </c>
      <c r="AT63" s="18">
        <f t="shared" si="152"/>
        <v>15849</v>
      </c>
      <c r="AU63" s="18">
        <f t="shared" si="152"/>
        <v>3214822.4999999995</v>
      </c>
      <c r="AV63" s="18">
        <f t="shared" si="152"/>
        <v>0</v>
      </c>
      <c r="AW63" s="18">
        <f t="shared" si="152"/>
        <v>747456.5</v>
      </c>
      <c r="AX63" s="18">
        <f t="shared" si="152"/>
        <v>0</v>
      </c>
      <c r="AY63" s="18">
        <f t="shared" si="152"/>
        <v>0</v>
      </c>
      <c r="AZ63" s="18">
        <f t="shared" si="152"/>
        <v>0</v>
      </c>
      <c r="BA63" s="18">
        <f t="shared" si="152"/>
        <v>0</v>
      </c>
      <c r="BB63" s="18">
        <f t="shared" si="152"/>
        <v>0</v>
      </c>
      <c r="BC63" s="18">
        <f t="shared" si="152"/>
        <v>0</v>
      </c>
      <c r="BD63" s="18">
        <f t="shared" si="152"/>
        <v>0</v>
      </c>
      <c r="BE63" s="18">
        <f t="shared" si="152"/>
        <v>0</v>
      </c>
      <c r="BF63" s="18">
        <f t="shared" si="152"/>
        <v>0</v>
      </c>
      <c r="BG63" s="18">
        <f t="shared" si="152"/>
        <v>0</v>
      </c>
      <c r="BH63" s="18">
        <f t="shared" si="152"/>
        <v>0</v>
      </c>
      <c r="BI63" s="18">
        <f t="shared" si="152"/>
        <v>0</v>
      </c>
      <c r="BJ63" s="18">
        <f t="shared" si="152"/>
        <v>0</v>
      </c>
      <c r="BK63" s="18">
        <f t="shared" si="152"/>
        <v>0</v>
      </c>
      <c r="BL63" s="18">
        <f t="shared" si="152"/>
        <v>0</v>
      </c>
      <c r="BM63" s="18">
        <f t="shared" si="152"/>
        <v>0</v>
      </c>
      <c r="BN63" s="18">
        <f t="shared" si="152"/>
        <v>0</v>
      </c>
      <c r="BO63" s="18">
        <f aca="true" t="shared" si="153" ref="BO63:CI63">BO7+BO8+BO17</f>
        <v>0</v>
      </c>
      <c r="BP63" s="18">
        <f t="shared" si="153"/>
        <v>0</v>
      </c>
      <c r="BQ63" s="18">
        <f t="shared" si="153"/>
        <v>0</v>
      </c>
      <c r="BR63" s="18">
        <f t="shared" si="153"/>
        <v>0</v>
      </c>
      <c r="BS63" s="18">
        <f t="shared" si="153"/>
        <v>0</v>
      </c>
      <c r="BT63" s="18">
        <f t="shared" si="153"/>
        <v>1148891.98</v>
      </c>
      <c r="BU63" s="18">
        <f t="shared" si="153"/>
        <v>551668.9</v>
      </c>
      <c r="BV63" s="18">
        <f t="shared" si="153"/>
        <v>0</v>
      </c>
      <c r="BW63" s="18">
        <f t="shared" si="153"/>
        <v>489920.95</v>
      </c>
      <c r="BX63" s="18">
        <f t="shared" si="153"/>
        <v>2190481.83</v>
      </c>
      <c r="BY63" s="18">
        <f t="shared" si="153"/>
        <v>2029567.5</v>
      </c>
      <c r="BZ63" s="18">
        <f t="shared" si="153"/>
        <v>0</v>
      </c>
      <c r="CA63" s="18">
        <f t="shared" si="153"/>
        <v>160914.33</v>
      </c>
      <c r="CB63" s="18">
        <f t="shared" si="153"/>
        <v>2190481.83</v>
      </c>
      <c r="CC63" s="18">
        <f t="shared" si="153"/>
        <v>0</v>
      </c>
      <c r="CD63" s="18">
        <f t="shared" si="153"/>
        <v>-375214.9</v>
      </c>
      <c r="CE63" s="18">
        <f t="shared" si="153"/>
        <v>-296142.35</v>
      </c>
      <c r="CF63" s="18">
        <f t="shared" si="153"/>
        <v>0</v>
      </c>
      <c r="CG63" s="18">
        <f t="shared" si="153"/>
        <v>3198973.5</v>
      </c>
      <c r="CH63" s="18">
        <f t="shared" si="153"/>
        <v>77774.55</v>
      </c>
      <c r="CI63" s="18">
        <f t="shared" si="153"/>
        <v>450016.14999999997</v>
      </c>
      <c r="CJ63" s="156" t="e">
        <f t="shared" si="120"/>
        <v>#DIV/0!</v>
      </c>
      <c r="CK63" s="156" t="e">
        <f t="shared" si="121"/>
        <v>#DIV/0!</v>
      </c>
      <c r="CL63" s="156">
        <f t="shared" si="122"/>
        <v>-0.11729228141464755</v>
      </c>
      <c r="CM63" s="156">
        <f t="shared" si="123"/>
        <v>-0.09257418043631808</v>
      </c>
      <c r="CN63" s="156">
        <f t="shared" si="124"/>
        <v>0.02431234581968247</v>
      </c>
      <c r="CO63" s="156">
        <f t="shared" si="125"/>
        <v>0.14067517283278524</v>
      </c>
      <c r="CP63" s="156">
        <f t="shared" si="126"/>
        <v>0.4028978997424534</v>
      </c>
      <c r="CQ63" s="156">
        <f t="shared" si="127"/>
        <v>0.4028978997424534</v>
      </c>
      <c r="CR63" s="18">
        <f t="shared" si="128"/>
        <v>2.973824986530971</v>
      </c>
      <c r="CS63" s="18">
        <f t="shared" si="129"/>
        <v>-880675.52</v>
      </c>
      <c r="CT63" s="18">
        <f t="shared" si="130"/>
        <v>3590037.4</v>
      </c>
      <c r="CU63" s="18">
        <f t="shared" si="131"/>
        <v>3214822.4999999995</v>
      </c>
      <c r="CV63" s="18">
        <f t="shared" si="132"/>
        <v>-375214.9000000004</v>
      </c>
      <c r="CW63" s="18">
        <f t="shared" si="133"/>
        <v>0</v>
      </c>
      <c r="CX63" s="18">
        <f t="shared" si="134"/>
        <v>-375214.9000000004</v>
      </c>
      <c r="CY63" s="18">
        <f t="shared" si="135"/>
        <v>-747456.5000000003</v>
      </c>
      <c r="CZ63" s="18">
        <f t="shared" si="136"/>
        <v>0</v>
      </c>
      <c r="DA63" s="18">
        <f t="shared" si="137"/>
        <v>372241.6</v>
      </c>
      <c r="DB63" s="18">
        <f t="shared" si="138"/>
        <v>-375214.9000000004</v>
      </c>
      <c r="DC63" s="18">
        <f t="shared" si="139"/>
        <v>-372241.6</v>
      </c>
      <c r="DD63" s="18">
        <f t="shared" si="140"/>
        <v>-747456.5000000003</v>
      </c>
      <c r="DE63" s="18">
        <f t="shared" si="141"/>
        <v>1004134.05</v>
      </c>
      <c r="DF63" s="18">
        <f t="shared" si="142"/>
        <v>-474.2463758750673</v>
      </c>
      <c r="DG63" s="18">
        <f t="shared" si="143"/>
        <v>41.88182552504039</v>
      </c>
      <c r="DH63" s="18">
        <f t="shared" si="144"/>
        <v>540.7291599353797</v>
      </c>
      <c r="DI63" s="18">
        <f t="shared" si="145"/>
        <v>0</v>
      </c>
      <c r="DJ63" s="18">
        <f t="shared" si="146"/>
        <v>-202.0543349488424</v>
      </c>
      <c r="DK63" s="18">
        <f t="shared" si="147"/>
        <v>-880675.52</v>
      </c>
    </row>
    <row r="64" spans="1:115" ht="12.75">
      <c r="A64" s="3" t="s">
        <v>263</v>
      </c>
      <c r="B64" s="60">
        <f>B3+B5+B6+B12+B13+B14+B15+B16+B18+B23+B28+B29+B30+B31</f>
        <v>9021</v>
      </c>
      <c r="C64" s="60">
        <f>C3+C5+C6+C12+C13+C14+C15+C16+C18+C23+C28+C29+C30+C31</f>
        <v>31798899</v>
      </c>
      <c r="D64" s="60">
        <f>(D3+D5+D6+D12+D13+D14+D15+D16+D18+D23+D28+D29+D30+D31)/14</f>
        <v>2966.777142857143</v>
      </c>
      <c r="E64" s="60">
        <f>(E3+E5+E6+E12+E13+E14+E15+E16+E18+E23+E28+E29+E30+E31)/14</f>
        <v>86.0407142857143</v>
      </c>
      <c r="F64" s="60">
        <f>(F3+F5+F6+F12+F13+F14+F15+F16+F18+F23+F28+F29+F30+F31)/14</f>
        <v>11.071428571428571</v>
      </c>
      <c r="G64" s="18">
        <f>G3+G5+G6+G12+G13+G14+G15+G16+G18+G23+G28+G29+G30+G31</f>
        <v>8919349.450000001</v>
      </c>
      <c r="H64" s="18">
        <f aca="true" t="shared" si="154" ref="H64:BS64">H3+H5+H6+H12+H13+H14+H15+H16+H18+H23+H28+H29+H30+H31</f>
        <v>1693788.95</v>
      </c>
      <c r="I64" s="18">
        <f t="shared" si="154"/>
        <v>430859.60000000003</v>
      </c>
      <c r="J64" s="18">
        <f t="shared" si="154"/>
        <v>0</v>
      </c>
      <c r="K64" s="18">
        <f t="shared" si="154"/>
        <v>1116880.4999999998</v>
      </c>
      <c r="L64" s="18">
        <f t="shared" si="154"/>
        <v>75200</v>
      </c>
      <c r="M64" s="18">
        <f t="shared" si="154"/>
        <v>1192080.4999999998</v>
      </c>
      <c r="N64" s="18">
        <f t="shared" si="154"/>
        <v>0</v>
      </c>
      <c r="O64" s="18">
        <f t="shared" si="154"/>
        <v>1702447.4500000002</v>
      </c>
      <c r="P64" s="18">
        <f t="shared" si="154"/>
        <v>25568.4</v>
      </c>
      <c r="Q64" s="18">
        <f t="shared" si="154"/>
        <v>0</v>
      </c>
      <c r="R64" s="18">
        <f t="shared" si="154"/>
        <v>0</v>
      </c>
      <c r="S64" s="18">
        <f t="shared" si="154"/>
        <v>0</v>
      </c>
      <c r="T64" s="18">
        <f t="shared" si="154"/>
        <v>100000</v>
      </c>
      <c r="U64" s="18">
        <f t="shared" si="154"/>
        <v>0</v>
      </c>
      <c r="V64" s="18">
        <f t="shared" si="154"/>
        <v>0</v>
      </c>
      <c r="W64" s="18">
        <f t="shared" si="154"/>
        <v>100000</v>
      </c>
      <c r="X64" s="18">
        <f t="shared" si="154"/>
        <v>1448611.55</v>
      </c>
      <c r="Y64" s="18">
        <f t="shared" si="154"/>
        <v>15512705.9</v>
      </c>
      <c r="Z64" s="18">
        <f t="shared" si="154"/>
        <v>3339243.6999999997</v>
      </c>
      <c r="AA64" s="18">
        <f t="shared" si="154"/>
        <v>780976.45</v>
      </c>
      <c r="AB64" s="18">
        <f t="shared" si="154"/>
        <v>65577.55</v>
      </c>
      <c r="AC64" s="18">
        <f t="shared" si="154"/>
        <v>175850.55000000002</v>
      </c>
      <c r="AD64" s="18">
        <f t="shared" si="154"/>
        <v>0</v>
      </c>
      <c r="AE64" s="18">
        <f t="shared" si="154"/>
        <v>4361648.25</v>
      </c>
      <c r="AF64" s="18">
        <f t="shared" si="154"/>
        <v>0</v>
      </c>
      <c r="AG64" s="18">
        <f t="shared" si="154"/>
        <v>36331.350000000006</v>
      </c>
      <c r="AH64" s="18">
        <f t="shared" si="154"/>
        <v>0</v>
      </c>
      <c r="AI64" s="18">
        <f t="shared" si="154"/>
        <v>365730.8</v>
      </c>
      <c r="AJ64" s="18">
        <f t="shared" si="154"/>
        <v>3085864</v>
      </c>
      <c r="AK64" s="18">
        <f t="shared" si="154"/>
        <v>1374100.65</v>
      </c>
      <c r="AL64" s="18">
        <f t="shared" si="154"/>
        <v>4042988.85</v>
      </c>
      <c r="AM64" s="18">
        <f t="shared" si="154"/>
        <v>0</v>
      </c>
      <c r="AN64" s="18">
        <f t="shared" si="154"/>
        <v>0</v>
      </c>
      <c r="AO64" s="18">
        <f t="shared" si="154"/>
        <v>0</v>
      </c>
      <c r="AP64" s="18">
        <f t="shared" si="154"/>
        <v>0</v>
      </c>
      <c r="AQ64" s="18">
        <f t="shared" si="154"/>
        <v>4366.65</v>
      </c>
      <c r="AR64" s="18">
        <f t="shared" si="154"/>
        <v>0</v>
      </c>
      <c r="AS64" s="18">
        <f t="shared" si="154"/>
        <v>4366.65</v>
      </c>
      <c r="AT64" s="18">
        <f t="shared" si="154"/>
        <v>1469331.55</v>
      </c>
      <c r="AU64" s="18">
        <f t="shared" si="154"/>
        <v>14740362.1</v>
      </c>
      <c r="AV64" s="18">
        <f t="shared" si="154"/>
        <v>104894.65000000001</v>
      </c>
      <c r="AW64" s="18">
        <f t="shared" si="154"/>
        <v>877238.4500000001</v>
      </c>
      <c r="AX64" s="18">
        <f t="shared" si="154"/>
        <v>1.051375875249505E-09</v>
      </c>
      <c r="AY64" s="18">
        <f t="shared" si="154"/>
        <v>0</v>
      </c>
      <c r="AZ64" s="18">
        <f t="shared" si="154"/>
        <v>255041.8</v>
      </c>
      <c r="BA64" s="18">
        <f t="shared" si="154"/>
        <v>0</v>
      </c>
      <c r="BB64" s="18">
        <f t="shared" si="154"/>
        <v>0</v>
      </c>
      <c r="BC64" s="18">
        <f t="shared" si="154"/>
        <v>0</v>
      </c>
      <c r="BD64" s="18">
        <f t="shared" si="154"/>
        <v>0</v>
      </c>
      <c r="BE64" s="18">
        <f t="shared" si="154"/>
        <v>32667</v>
      </c>
      <c r="BF64" s="18">
        <f t="shared" si="154"/>
        <v>287708.80000000005</v>
      </c>
      <c r="BG64" s="18">
        <f t="shared" si="154"/>
        <v>0</v>
      </c>
      <c r="BH64" s="18">
        <f t="shared" si="154"/>
        <v>0</v>
      </c>
      <c r="BI64" s="18">
        <f t="shared" si="154"/>
        <v>0</v>
      </c>
      <c r="BJ64" s="18">
        <f t="shared" si="154"/>
        <v>0</v>
      </c>
      <c r="BK64" s="18">
        <f t="shared" si="154"/>
        <v>0</v>
      </c>
      <c r="BL64" s="18">
        <f t="shared" si="154"/>
        <v>0</v>
      </c>
      <c r="BM64" s="18">
        <f t="shared" si="154"/>
        <v>0</v>
      </c>
      <c r="BN64" s="18">
        <f t="shared" si="154"/>
        <v>0</v>
      </c>
      <c r="BO64" s="18">
        <f t="shared" si="154"/>
        <v>0</v>
      </c>
      <c r="BP64" s="18">
        <f t="shared" si="154"/>
        <v>0</v>
      </c>
      <c r="BQ64" s="18">
        <f t="shared" si="154"/>
        <v>0</v>
      </c>
      <c r="BR64" s="18">
        <f t="shared" si="154"/>
        <v>287708.80000000005</v>
      </c>
      <c r="BS64" s="18">
        <f t="shared" si="154"/>
        <v>0</v>
      </c>
      <c r="BT64" s="18">
        <f aca="true" t="shared" si="155" ref="BT64:CI64">BT3+BT5+BT6+BT12+BT13+BT14+BT15+BT16+BT18+BT23+BT28+BT29+BT30+BT31</f>
        <v>9770160.76</v>
      </c>
      <c r="BU64" s="18">
        <f t="shared" si="155"/>
        <v>6716695.55</v>
      </c>
      <c r="BV64" s="18">
        <f t="shared" si="155"/>
        <v>0</v>
      </c>
      <c r="BW64" s="18">
        <f t="shared" si="155"/>
        <v>623087.65</v>
      </c>
      <c r="BX64" s="18">
        <f t="shared" si="155"/>
        <v>17109943.96</v>
      </c>
      <c r="BY64" s="18">
        <f t="shared" si="155"/>
        <v>15590360.69</v>
      </c>
      <c r="BZ64" s="18">
        <f t="shared" si="155"/>
        <v>280000</v>
      </c>
      <c r="CA64" s="18">
        <f t="shared" si="155"/>
        <v>1239583.27</v>
      </c>
      <c r="CB64" s="18">
        <f t="shared" si="155"/>
        <v>17109943.959999997</v>
      </c>
      <c r="CC64" s="18">
        <f t="shared" si="155"/>
        <v>0</v>
      </c>
      <c r="CD64" s="18">
        <f t="shared" si="155"/>
        <v>419736.69999999995</v>
      </c>
      <c r="CE64" s="18">
        <f t="shared" si="155"/>
        <v>515370.04999999993</v>
      </c>
      <c r="CF64" s="18">
        <f t="shared" si="155"/>
        <v>287708.80000000005</v>
      </c>
      <c r="CG64" s="18">
        <f t="shared" si="155"/>
        <v>13266663.9</v>
      </c>
      <c r="CH64" s="18">
        <f t="shared" si="155"/>
        <v>394528.25000000006</v>
      </c>
      <c r="CI64" s="18">
        <f t="shared" si="155"/>
        <v>1511408.75</v>
      </c>
      <c r="CJ64" s="156">
        <f t="shared" si="120"/>
        <v>1.4588942013591517</v>
      </c>
      <c r="CK64" s="156">
        <f t="shared" si="121"/>
        <v>1.7912905340399732</v>
      </c>
      <c r="CL64" s="156">
        <f t="shared" si="122"/>
        <v>0.031638451321586575</v>
      </c>
      <c r="CM64" s="156">
        <f t="shared" si="123"/>
        <v>0.038846996794725454</v>
      </c>
      <c r="CN64" s="156">
        <f t="shared" si="124"/>
        <v>0.02973831650321676</v>
      </c>
      <c r="CO64" s="156">
        <f t="shared" si="125"/>
        <v>0.11392530642160913</v>
      </c>
      <c r="CP64" s="156">
        <f t="shared" si="126"/>
        <v>0.15072882231884666</v>
      </c>
      <c r="CQ64" s="156">
        <f t="shared" si="127"/>
        <v>0.14122039781364143</v>
      </c>
      <c r="CR64" s="18">
        <f t="shared" si="128"/>
        <v>-11.293244397884589</v>
      </c>
      <c r="CS64" s="18">
        <f t="shared" si="129"/>
        <v>-5820199.93</v>
      </c>
      <c r="CT64" s="18">
        <f t="shared" si="130"/>
        <v>14320625.4</v>
      </c>
      <c r="CU64" s="18">
        <f t="shared" si="131"/>
        <v>14740362.1</v>
      </c>
      <c r="CV64" s="18">
        <f t="shared" si="132"/>
        <v>419736.69999999925</v>
      </c>
      <c r="CW64" s="18">
        <f t="shared" si="133"/>
        <v>0</v>
      </c>
      <c r="CX64" s="18">
        <f t="shared" si="134"/>
        <v>419736.69999999925</v>
      </c>
      <c r="CY64" s="18">
        <f t="shared" si="135"/>
        <v>-772343.8000000005</v>
      </c>
      <c r="CZ64" s="18">
        <f t="shared" si="136"/>
        <v>287708.80000000005</v>
      </c>
      <c r="DA64" s="18">
        <f t="shared" si="137"/>
        <v>1192080.4999999998</v>
      </c>
      <c r="DB64" s="18">
        <f t="shared" si="138"/>
        <v>132027.8999999992</v>
      </c>
      <c r="DC64" s="18">
        <f t="shared" si="139"/>
        <v>-1192080.4999999998</v>
      </c>
      <c r="DD64" s="18">
        <f t="shared" si="140"/>
        <v>-772343.8000000005</v>
      </c>
      <c r="DE64" s="18">
        <f t="shared" si="141"/>
        <v>4185797.6999999993</v>
      </c>
      <c r="DF64" s="18">
        <f t="shared" si="142"/>
        <v>-645.1834530539851</v>
      </c>
      <c r="DG64" s="18">
        <f t="shared" si="143"/>
        <v>43.73442523001885</v>
      </c>
      <c r="DH64" s="18">
        <f t="shared" si="144"/>
        <v>464.0059527768539</v>
      </c>
      <c r="DI64" s="18">
        <f t="shared" si="145"/>
        <v>31.89322691497617</v>
      </c>
      <c r="DJ64" s="18">
        <f t="shared" si="146"/>
        <v>14.635616893914113</v>
      </c>
      <c r="DK64" s="18">
        <f t="shared" si="147"/>
        <v>-6100199.93</v>
      </c>
    </row>
    <row r="65" spans="1:115" ht="12.75">
      <c r="A65" s="3" t="s">
        <v>250</v>
      </c>
      <c r="B65" s="60">
        <f>SUM(B60:B64)</f>
        <v>38305</v>
      </c>
      <c r="C65" s="60">
        <f aca="true" t="shared" si="156" ref="C65:BN65">SUM(C60:C64)</f>
        <v>132077817</v>
      </c>
      <c r="D65" s="60">
        <f>MEDIAN(D60:D64)</f>
        <v>2966.777142857143</v>
      </c>
      <c r="E65" s="60">
        <f>MEDIAN(E60:E64)</f>
        <v>86.0407142857143</v>
      </c>
      <c r="F65" s="60">
        <f>MEDIAN(F60:F64)</f>
        <v>11.071428571428571</v>
      </c>
      <c r="G65" s="18">
        <f t="shared" si="156"/>
        <v>33227398</v>
      </c>
      <c r="H65" s="18">
        <f t="shared" si="156"/>
        <v>6383688.37</v>
      </c>
      <c r="I65" s="18">
        <f t="shared" si="156"/>
        <v>2130772.5</v>
      </c>
      <c r="J65" s="18">
        <f t="shared" si="156"/>
        <v>42499.99999999999</v>
      </c>
      <c r="K65" s="18">
        <f t="shared" si="156"/>
        <v>3510696.3499999996</v>
      </c>
      <c r="L65" s="18">
        <f t="shared" si="156"/>
        <v>743541.95</v>
      </c>
      <c r="M65" s="18">
        <f t="shared" si="156"/>
        <v>4254238.3</v>
      </c>
      <c r="N65" s="18">
        <f t="shared" si="156"/>
        <v>0</v>
      </c>
      <c r="O65" s="18">
        <f t="shared" si="156"/>
        <v>7544124.449999999</v>
      </c>
      <c r="P65" s="18">
        <f t="shared" si="156"/>
        <v>82802.20000000001</v>
      </c>
      <c r="Q65" s="18">
        <f t="shared" si="156"/>
        <v>3000</v>
      </c>
      <c r="R65" s="18">
        <f t="shared" si="156"/>
        <v>0</v>
      </c>
      <c r="S65" s="18">
        <f t="shared" si="156"/>
        <v>79072.55</v>
      </c>
      <c r="T65" s="18">
        <f t="shared" si="156"/>
        <v>515570</v>
      </c>
      <c r="U65" s="18">
        <f t="shared" si="156"/>
        <v>0</v>
      </c>
      <c r="V65" s="18">
        <f t="shared" si="156"/>
        <v>0</v>
      </c>
      <c r="W65" s="18">
        <f t="shared" si="156"/>
        <v>594642.55</v>
      </c>
      <c r="X65" s="18">
        <f t="shared" si="156"/>
        <v>4670465.8</v>
      </c>
      <c r="Y65" s="18">
        <f t="shared" si="156"/>
        <v>58933632.17</v>
      </c>
      <c r="Z65" s="18">
        <f t="shared" si="156"/>
        <v>16571371.449999997</v>
      </c>
      <c r="AA65" s="18">
        <f t="shared" si="156"/>
        <v>3228841.75</v>
      </c>
      <c r="AB65" s="18">
        <f t="shared" si="156"/>
        <v>95089.55</v>
      </c>
      <c r="AC65" s="18">
        <f t="shared" si="156"/>
        <v>970295.65</v>
      </c>
      <c r="AD65" s="18">
        <f t="shared" si="156"/>
        <v>0</v>
      </c>
      <c r="AE65" s="18">
        <f t="shared" si="156"/>
        <v>20865598.4</v>
      </c>
      <c r="AF65" s="18">
        <f t="shared" si="156"/>
        <v>0</v>
      </c>
      <c r="AG65" s="18">
        <f t="shared" si="156"/>
        <v>337236.44999999995</v>
      </c>
      <c r="AH65" s="18">
        <f t="shared" si="156"/>
        <v>0</v>
      </c>
      <c r="AI65" s="18">
        <f t="shared" si="156"/>
        <v>982013.8500000001</v>
      </c>
      <c r="AJ65" s="18">
        <f t="shared" si="156"/>
        <v>13334562.5</v>
      </c>
      <c r="AK65" s="18">
        <f t="shared" si="156"/>
        <v>3236937.75</v>
      </c>
      <c r="AL65" s="18">
        <f t="shared" si="156"/>
        <v>14784452.4</v>
      </c>
      <c r="AM65" s="18">
        <f t="shared" si="156"/>
        <v>61.75</v>
      </c>
      <c r="AN65" s="18">
        <f t="shared" si="156"/>
        <v>0</v>
      </c>
      <c r="AO65" s="18">
        <f t="shared" si="156"/>
        <v>0</v>
      </c>
      <c r="AP65" s="18">
        <f t="shared" si="156"/>
        <v>0</v>
      </c>
      <c r="AQ65" s="18">
        <f t="shared" si="156"/>
        <v>4366.65</v>
      </c>
      <c r="AR65" s="18">
        <f t="shared" si="156"/>
        <v>30000</v>
      </c>
      <c r="AS65" s="18">
        <f t="shared" si="156"/>
        <v>34366.65</v>
      </c>
      <c r="AT65" s="18">
        <f t="shared" si="156"/>
        <v>4950313.95</v>
      </c>
      <c r="AU65" s="18">
        <f t="shared" si="156"/>
        <v>58525543.7</v>
      </c>
      <c r="AV65" s="18">
        <f t="shared" si="156"/>
        <v>1609654.18</v>
      </c>
      <c r="AW65" s="18">
        <f t="shared" si="156"/>
        <v>2017742.65</v>
      </c>
      <c r="AX65" s="18">
        <f t="shared" si="156"/>
        <v>-1.7071215552277863E-09</v>
      </c>
      <c r="AY65" s="18">
        <f t="shared" si="156"/>
        <v>31247.45</v>
      </c>
      <c r="AZ65" s="18">
        <f t="shared" si="156"/>
        <v>547298.85</v>
      </c>
      <c r="BA65" s="18">
        <f t="shared" si="156"/>
        <v>0</v>
      </c>
      <c r="BB65" s="18">
        <f t="shared" si="156"/>
        <v>0</v>
      </c>
      <c r="BC65" s="18">
        <f t="shared" si="156"/>
        <v>0</v>
      </c>
      <c r="BD65" s="18">
        <f t="shared" si="156"/>
        <v>2479</v>
      </c>
      <c r="BE65" s="18">
        <f t="shared" si="156"/>
        <v>32667</v>
      </c>
      <c r="BF65" s="18">
        <f t="shared" si="156"/>
        <v>582444.8500000001</v>
      </c>
      <c r="BG65" s="18">
        <f t="shared" si="156"/>
        <v>46495.4</v>
      </c>
      <c r="BH65" s="18">
        <f t="shared" si="156"/>
        <v>0</v>
      </c>
      <c r="BI65" s="18">
        <f t="shared" si="156"/>
        <v>3835</v>
      </c>
      <c r="BJ65" s="18">
        <f t="shared" si="156"/>
        <v>0</v>
      </c>
      <c r="BK65" s="18">
        <f t="shared" si="156"/>
        <v>3000</v>
      </c>
      <c r="BL65" s="18">
        <f t="shared" si="156"/>
        <v>0</v>
      </c>
      <c r="BM65" s="18">
        <f t="shared" si="156"/>
        <v>28929.65</v>
      </c>
      <c r="BN65" s="18">
        <f t="shared" si="156"/>
        <v>0</v>
      </c>
      <c r="BO65" s="18">
        <f aca="true" t="shared" si="157" ref="BO65:CI65">SUM(BO60:BO64)</f>
        <v>82260.05</v>
      </c>
      <c r="BP65" s="18">
        <f t="shared" si="157"/>
        <v>82260.05</v>
      </c>
      <c r="BQ65" s="18">
        <f t="shared" si="157"/>
        <v>0</v>
      </c>
      <c r="BR65" s="18">
        <f t="shared" si="157"/>
        <v>582444.8500000001</v>
      </c>
      <c r="BS65" s="18">
        <f t="shared" si="157"/>
        <v>0</v>
      </c>
      <c r="BT65" s="18">
        <f t="shared" si="157"/>
        <v>39255765.69</v>
      </c>
      <c r="BU65" s="18">
        <f t="shared" si="157"/>
        <v>35928679.699999996</v>
      </c>
      <c r="BV65" s="18">
        <f t="shared" si="157"/>
        <v>0</v>
      </c>
      <c r="BW65" s="18">
        <f t="shared" si="157"/>
        <v>2673872.99</v>
      </c>
      <c r="BX65" s="18">
        <f t="shared" si="157"/>
        <v>77858318.38</v>
      </c>
      <c r="BY65" s="18">
        <f t="shared" si="157"/>
        <v>73163179.97</v>
      </c>
      <c r="BZ65" s="18">
        <f t="shared" si="157"/>
        <v>1273568.95</v>
      </c>
      <c r="CA65" s="18">
        <f t="shared" si="157"/>
        <v>3421569.4600000004</v>
      </c>
      <c r="CB65" s="18">
        <f t="shared" si="157"/>
        <v>77858318.38</v>
      </c>
      <c r="CC65" s="18">
        <f t="shared" si="157"/>
        <v>0</v>
      </c>
      <c r="CD65" s="18">
        <f t="shared" si="157"/>
        <v>3846149.83</v>
      </c>
      <c r="CE65" s="18">
        <f t="shared" si="157"/>
        <v>4406425.73</v>
      </c>
      <c r="CF65" s="18">
        <f t="shared" si="157"/>
        <v>500184.80000000005</v>
      </c>
      <c r="CG65" s="18">
        <f t="shared" si="157"/>
        <v>53540801.35</v>
      </c>
      <c r="CH65" s="18">
        <f t="shared" si="157"/>
        <v>1824783.5000000002</v>
      </c>
      <c r="CI65" s="18">
        <f t="shared" si="157"/>
        <v>5335479.85</v>
      </c>
      <c r="CJ65" s="156">
        <f t="shared" si="120"/>
        <v>7.689457636457565</v>
      </c>
      <c r="CK65" s="156">
        <f t="shared" si="121"/>
        <v>8.809595433527768</v>
      </c>
      <c r="CL65" s="156">
        <f t="shared" si="122"/>
        <v>0.07183586597550991</v>
      </c>
      <c r="CM65" s="156">
        <f t="shared" si="123"/>
        <v>0.08230033206254954</v>
      </c>
      <c r="CN65" s="156">
        <f t="shared" si="124"/>
        <v>0.034082110353023325</v>
      </c>
      <c r="CO65" s="156">
        <f t="shared" si="125"/>
        <v>0.09965259606634556</v>
      </c>
      <c r="CP65" s="156">
        <f t="shared" si="126"/>
        <v>0.10587181100187895</v>
      </c>
      <c r="CQ65" s="156">
        <f t="shared" si="127"/>
        <v>0.08736787980405006</v>
      </c>
      <c r="CR65" s="18">
        <f t="shared" si="128"/>
        <v>-7.6949928031579455</v>
      </c>
      <c r="CS65" s="18">
        <f t="shared" si="129"/>
        <v>-33907414.28</v>
      </c>
      <c r="CT65" s="18">
        <f t="shared" si="130"/>
        <v>54679393.87</v>
      </c>
      <c r="CU65" s="18">
        <f t="shared" si="131"/>
        <v>58495543.7</v>
      </c>
      <c r="CV65" s="18">
        <f t="shared" si="132"/>
        <v>3816149.8300000057</v>
      </c>
      <c r="CW65" s="18">
        <f t="shared" si="133"/>
        <v>30000</v>
      </c>
      <c r="CX65" s="18">
        <f t="shared" si="134"/>
        <v>3846149.8300000057</v>
      </c>
      <c r="CY65" s="18">
        <f t="shared" si="135"/>
        <v>-408088.4699999939</v>
      </c>
      <c r="CZ65" s="18">
        <f t="shared" si="136"/>
        <v>500184.8000000001</v>
      </c>
      <c r="DA65" s="18">
        <f t="shared" si="137"/>
        <v>4254238.3</v>
      </c>
      <c r="DB65" s="18">
        <f t="shared" si="138"/>
        <v>3345965.030000006</v>
      </c>
      <c r="DC65" s="18">
        <f t="shared" si="139"/>
        <v>-4336498.35</v>
      </c>
      <c r="DD65" s="18">
        <f t="shared" si="140"/>
        <v>-408088.4699999937</v>
      </c>
      <c r="DE65" s="18">
        <f t="shared" si="141"/>
        <v>19895302.749999996</v>
      </c>
      <c r="DF65" s="18">
        <f t="shared" si="142"/>
        <v>-885.1955170343298</v>
      </c>
      <c r="DG65" s="18">
        <f t="shared" si="143"/>
        <v>47.63825871296176</v>
      </c>
      <c r="DH65" s="18">
        <f t="shared" si="144"/>
        <v>519.3917961101683</v>
      </c>
      <c r="DI65" s="18">
        <f t="shared" si="145"/>
        <v>13.057950659182877</v>
      </c>
      <c r="DJ65" s="18">
        <f t="shared" si="146"/>
        <v>87.35060775355713</v>
      </c>
      <c r="DK65" s="18">
        <f t="shared" si="147"/>
        <v>-35180983.23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2" manualBreakCount="2">
    <brk id="71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"/>
  <dimension ref="A1:DO65"/>
  <sheetViews>
    <sheetView workbookViewId="0" topLeftCell="A1">
      <pane xSplit="6" ySplit="2" topLeftCell="CC52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6"/>
      <c r="B1" s="22" t="s">
        <v>74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1:118" s="1" customFormat="1" ht="89.25" customHeight="1">
      <c r="A2" s="47"/>
      <c r="B2" s="43" t="s">
        <v>75</v>
      </c>
      <c r="C2" s="19" t="s">
        <v>37</v>
      </c>
      <c r="D2" s="54" t="s">
        <v>68</v>
      </c>
      <c r="E2" s="19" t="s">
        <v>52</v>
      </c>
      <c r="F2" s="131" t="s">
        <v>216</v>
      </c>
      <c r="G2" s="126" t="s">
        <v>76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28"/>
    </row>
    <row r="3" spans="1:118" s="5" customFormat="1" ht="12.75" customHeight="1">
      <c r="A3" s="48" t="s">
        <v>38</v>
      </c>
      <c r="B3" s="39">
        <v>172</v>
      </c>
      <c r="C3" s="6">
        <v>392011</v>
      </c>
      <c r="D3" s="61">
        <v>2279.13</v>
      </c>
      <c r="E3" s="61">
        <v>68.71</v>
      </c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>
        <f aca="true" t="shared" si="30" ref="DF3:DF14">CS3/B3</f>
        <v>0</v>
      </c>
      <c r="DG3" s="76">
        <f aca="true" t="shared" si="31" ref="DG3:DG14">CH3/B3</f>
        <v>0</v>
      </c>
      <c r="DH3" s="76">
        <f aca="true" t="shared" si="32" ref="DH3:DH14">DE3/B3</f>
        <v>0</v>
      </c>
      <c r="DI3" s="77">
        <f aca="true" t="shared" si="33" ref="DI3:DI14">CZ3/B3</f>
        <v>0</v>
      </c>
      <c r="DJ3" s="72">
        <f aca="true" t="shared" si="34" ref="DJ3:DJ14">DB3/B3</f>
        <v>0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4">
        <v>1925</v>
      </c>
      <c r="C4" s="36">
        <v>4676221</v>
      </c>
      <c r="D4" s="64">
        <v>2429.21</v>
      </c>
      <c r="E4" s="64">
        <v>73.24</v>
      </c>
      <c r="F4" s="124">
        <v>12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>
        <f t="shared" si="30"/>
        <v>0</v>
      </c>
      <c r="DG4" s="76">
        <f t="shared" si="31"/>
        <v>0</v>
      </c>
      <c r="DH4" s="76">
        <f t="shared" si="32"/>
        <v>0</v>
      </c>
      <c r="DI4" s="77">
        <f t="shared" si="33"/>
        <v>0</v>
      </c>
      <c r="DJ4" s="72">
        <f t="shared" si="34"/>
        <v>0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39">
        <v>456</v>
      </c>
      <c r="C5" s="4">
        <v>1363362</v>
      </c>
      <c r="D5" s="66">
        <v>2989.83</v>
      </c>
      <c r="E5" s="66">
        <v>90.14</v>
      </c>
      <c r="F5" s="8">
        <v>12</v>
      </c>
      <c r="G5" s="129">
        <v>326968.15</v>
      </c>
      <c r="H5" s="41">
        <v>81393.4</v>
      </c>
      <c r="I5" s="41">
        <v>43501.95</v>
      </c>
      <c r="J5" s="41">
        <v>0</v>
      </c>
      <c r="K5" s="41">
        <v>59191</v>
      </c>
      <c r="L5" s="41">
        <v>0</v>
      </c>
      <c r="M5" s="41">
        <f t="shared" si="0"/>
        <v>59191</v>
      </c>
      <c r="N5" s="41">
        <v>0</v>
      </c>
      <c r="O5" s="41">
        <v>84345.05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595399.55</v>
      </c>
      <c r="Z5" s="41">
        <v>385995.3</v>
      </c>
      <c r="AA5" s="41">
        <v>0</v>
      </c>
      <c r="AB5" s="41">
        <v>0</v>
      </c>
      <c r="AC5" s="41">
        <v>6325.25</v>
      </c>
      <c r="AD5" s="41">
        <v>0</v>
      </c>
      <c r="AE5" s="41">
        <f t="shared" si="3"/>
        <v>392320.55</v>
      </c>
      <c r="AF5" s="41">
        <v>0</v>
      </c>
      <c r="AG5" s="41">
        <v>0</v>
      </c>
      <c r="AH5" s="41">
        <v>0</v>
      </c>
      <c r="AI5" s="41">
        <v>59566.8</v>
      </c>
      <c r="AJ5" s="41">
        <v>0</v>
      </c>
      <c r="AK5" s="41">
        <v>144385.7</v>
      </c>
      <c r="AL5" s="41">
        <v>0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596273.05</v>
      </c>
      <c r="AV5" s="4">
        <v>873.5</v>
      </c>
      <c r="AW5" s="4">
        <v>0</v>
      </c>
      <c r="AX5" s="4">
        <f t="shared" si="6"/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32667</v>
      </c>
      <c r="BF5" s="41">
        <f t="shared" si="7"/>
        <v>32667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32667</v>
      </c>
      <c r="BS5" s="41">
        <f t="shared" si="9"/>
        <v>0</v>
      </c>
      <c r="BT5" s="4">
        <v>1123424.85</v>
      </c>
      <c r="BU5" s="4">
        <v>0</v>
      </c>
      <c r="BV5" s="4">
        <v>0</v>
      </c>
      <c r="BW5" s="4">
        <v>70202.4</v>
      </c>
      <c r="BX5" s="4">
        <f t="shared" si="10"/>
        <v>1193627.25</v>
      </c>
      <c r="BY5" s="4">
        <v>1033627.25</v>
      </c>
      <c r="BZ5" s="4">
        <v>160000</v>
      </c>
      <c r="CA5" s="4">
        <v>0</v>
      </c>
      <c r="CB5" s="4">
        <f t="shared" si="11"/>
        <v>1193627.25</v>
      </c>
      <c r="CC5" s="4">
        <f t="shared" si="12"/>
        <v>0</v>
      </c>
      <c r="CD5" s="70">
        <f t="shared" si="13"/>
        <v>60064.5</v>
      </c>
      <c r="CE5" s="72">
        <f t="shared" si="14"/>
        <v>60064.5</v>
      </c>
      <c r="CF5" s="72">
        <f t="shared" si="15"/>
        <v>32667</v>
      </c>
      <c r="CG5" s="72">
        <f t="shared" si="35"/>
        <v>596273.05</v>
      </c>
      <c r="CH5" s="72">
        <f t="shared" si="16"/>
        <v>43501.95</v>
      </c>
      <c r="CI5" s="35">
        <f t="shared" si="17"/>
        <v>102692.95</v>
      </c>
      <c r="CJ5" s="57">
        <f t="shared" si="36"/>
        <v>1.838690421526311</v>
      </c>
      <c r="CK5" s="57">
        <f t="shared" si="37"/>
        <v>1.838690421526311</v>
      </c>
      <c r="CL5" s="148">
        <f t="shared" si="38"/>
        <v>0.10073321274540245</v>
      </c>
      <c r="CM5" s="148">
        <f t="shared" si="39"/>
        <v>0.10073321274540245</v>
      </c>
      <c r="CN5" s="148">
        <f t="shared" si="40"/>
        <v>0.07295642491304948</v>
      </c>
      <c r="CO5" s="148">
        <f t="shared" si="41"/>
        <v>0.17222470477241927</v>
      </c>
      <c r="CP5" s="148">
        <f t="shared" si="42"/>
        <v>1</v>
      </c>
      <c r="CQ5" s="148">
        <f t="shared" si="43"/>
        <v>1</v>
      </c>
      <c r="CR5" s="149">
        <f t="shared" si="44"/>
        <v>1.4950195206819352</v>
      </c>
      <c r="CS5" s="72">
        <f t="shared" si="45"/>
        <v>89797.6000000001</v>
      </c>
      <c r="CT5" s="76">
        <f t="shared" si="18"/>
        <v>536208.55</v>
      </c>
      <c r="CU5" s="76">
        <f t="shared" si="19"/>
        <v>596273.05</v>
      </c>
      <c r="CV5" s="76">
        <f t="shared" si="20"/>
        <v>60064.5</v>
      </c>
      <c r="CW5" s="76">
        <f t="shared" si="21"/>
        <v>0</v>
      </c>
      <c r="CX5" s="76">
        <f t="shared" si="22"/>
        <v>60064.5</v>
      </c>
      <c r="CY5" s="76">
        <f t="shared" si="23"/>
        <v>873.5</v>
      </c>
      <c r="CZ5" s="76">
        <f t="shared" si="24"/>
        <v>32667</v>
      </c>
      <c r="DA5" s="76">
        <f t="shared" si="25"/>
        <v>59191</v>
      </c>
      <c r="DB5" s="76">
        <f t="shared" si="26"/>
        <v>27397.5</v>
      </c>
      <c r="DC5" s="76">
        <f t="shared" si="27"/>
        <v>-59191</v>
      </c>
      <c r="DD5" s="76">
        <f t="shared" si="28"/>
        <v>873.5</v>
      </c>
      <c r="DE5" s="76">
        <f t="shared" si="29"/>
        <v>385995.3</v>
      </c>
      <c r="DF5" s="76">
        <f t="shared" si="30"/>
        <v>196.924561403509</v>
      </c>
      <c r="DG5" s="76">
        <f t="shared" si="31"/>
        <v>95.39901315789473</v>
      </c>
      <c r="DH5" s="76">
        <f t="shared" si="32"/>
        <v>846.4809210526315</v>
      </c>
      <c r="DI5" s="77">
        <f t="shared" si="33"/>
        <v>71.63815789473684</v>
      </c>
      <c r="DJ5" s="72">
        <f t="shared" si="34"/>
        <v>60.08223684210526</v>
      </c>
      <c r="DK5" s="151">
        <f aca="true" t="shared" si="46" ref="DK5:DK31">CA5-BW5-BU5</f>
        <v>-70202.4</v>
      </c>
      <c r="DL5" s="72">
        <v>12</v>
      </c>
      <c r="DM5" s="72">
        <v>22</v>
      </c>
      <c r="DN5" s="63">
        <v>0</v>
      </c>
    </row>
    <row r="6" spans="1:118" ht="12.75">
      <c r="A6" s="49" t="s">
        <v>1</v>
      </c>
      <c r="B6" s="44">
        <v>257</v>
      </c>
      <c r="C6" s="36">
        <v>666076</v>
      </c>
      <c r="D6" s="64">
        <v>2591.73</v>
      </c>
      <c r="E6" s="69">
        <v>78.14</v>
      </c>
      <c r="F6" s="124">
        <v>8</v>
      </c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>
        <f t="shared" si="30"/>
        <v>0</v>
      </c>
      <c r="DG6" s="76">
        <f t="shared" si="31"/>
        <v>0</v>
      </c>
      <c r="DH6" s="76">
        <f t="shared" si="32"/>
        <v>0</v>
      </c>
      <c r="DI6" s="77">
        <f t="shared" si="33"/>
        <v>0</v>
      </c>
      <c r="DJ6" s="72">
        <f t="shared" si="34"/>
        <v>0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39">
        <v>746</v>
      </c>
      <c r="C7" s="4">
        <v>1745012</v>
      </c>
      <c r="D7" s="66">
        <v>2339.16</v>
      </c>
      <c r="E7" s="66">
        <v>70.52</v>
      </c>
      <c r="F7" s="8">
        <v>10</v>
      </c>
      <c r="G7" s="143">
        <f>(G50/($B$50)*$B$7)+(G48)</f>
        <v>925986.5444754465</v>
      </c>
      <c r="H7" s="143">
        <f aca="true" t="shared" si="47" ref="H7:BU7">(H50/($B$50)*$B$7)+(H48)</f>
        <v>208233.16065848214</v>
      </c>
      <c r="I7" s="143">
        <f t="shared" si="47"/>
        <v>20276.50284598214</v>
      </c>
      <c r="J7" s="143">
        <f t="shared" si="47"/>
        <v>0</v>
      </c>
      <c r="K7" s="143">
        <f t="shared" si="47"/>
        <v>165787.95</v>
      </c>
      <c r="L7" s="143">
        <f t="shared" si="47"/>
        <v>0</v>
      </c>
      <c r="M7" s="41">
        <f t="shared" si="0"/>
        <v>165787.95</v>
      </c>
      <c r="N7" s="143">
        <f t="shared" si="47"/>
        <v>0</v>
      </c>
      <c r="O7" s="143">
        <f t="shared" si="47"/>
        <v>0</v>
      </c>
      <c r="P7" s="143">
        <f t="shared" si="47"/>
        <v>0</v>
      </c>
      <c r="Q7" s="143">
        <f t="shared" si="47"/>
        <v>0</v>
      </c>
      <c r="R7" s="143">
        <f t="shared" si="47"/>
        <v>0</v>
      </c>
      <c r="S7" s="143">
        <f t="shared" si="47"/>
        <v>0</v>
      </c>
      <c r="T7" s="143">
        <f t="shared" si="47"/>
        <v>0</v>
      </c>
      <c r="U7" s="143">
        <f t="shared" si="47"/>
        <v>0</v>
      </c>
      <c r="V7" s="143">
        <f t="shared" si="47"/>
        <v>0</v>
      </c>
      <c r="W7" s="41">
        <f t="shared" si="1"/>
        <v>0</v>
      </c>
      <c r="X7" s="143">
        <f t="shared" si="47"/>
        <v>618.6346540178572</v>
      </c>
      <c r="Y7" s="41">
        <f t="shared" si="2"/>
        <v>1320902.7926339286</v>
      </c>
      <c r="Z7" s="143">
        <f t="shared" si="47"/>
        <v>303779.55</v>
      </c>
      <c r="AA7" s="143">
        <f t="shared" si="47"/>
        <v>182484.85</v>
      </c>
      <c r="AB7" s="143">
        <f t="shared" si="47"/>
        <v>0</v>
      </c>
      <c r="AC7" s="143">
        <f t="shared" si="47"/>
        <v>1572.6</v>
      </c>
      <c r="AD7" s="143">
        <f t="shared" si="47"/>
        <v>0</v>
      </c>
      <c r="AE7" s="41">
        <f t="shared" si="3"/>
        <v>487837</v>
      </c>
      <c r="AF7" s="143">
        <f t="shared" si="47"/>
        <v>0</v>
      </c>
      <c r="AG7" s="143">
        <f t="shared" si="47"/>
        <v>0</v>
      </c>
      <c r="AH7" s="143">
        <f t="shared" si="47"/>
        <v>0</v>
      </c>
      <c r="AI7" s="143">
        <f t="shared" si="47"/>
        <v>155.9856026785714</v>
      </c>
      <c r="AJ7" s="143">
        <f t="shared" si="47"/>
        <v>144031.11919642857</v>
      </c>
      <c r="AK7" s="143">
        <f t="shared" si="47"/>
        <v>152233.7888392857</v>
      </c>
      <c r="AL7" s="143">
        <f t="shared" si="47"/>
        <v>195052.1489955357</v>
      </c>
      <c r="AM7" s="143">
        <f t="shared" si="47"/>
        <v>0</v>
      </c>
      <c r="AN7" s="143">
        <f t="shared" si="47"/>
        <v>0</v>
      </c>
      <c r="AO7" s="143">
        <f t="shared" si="47"/>
        <v>0</v>
      </c>
      <c r="AP7" s="143">
        <f t="shared" si="47"/>
        <v>0</v>
      </c>
      <c r="AQ7" s="143">
        <f t="shared" si="47"/>
        <v>0</v>
      </c>
      <c r="AR7" s="143">
        <f t="shared" si="47"/>
        <v>0</v>
      </c>
      <c r="AS7" s="4">
        <f t="shared" si="4"/>
        <v>0</v>
      </c>
      <c r="AT7" s="143">
        <f t="shared" si="47"/>
        <v>0</v>
      </c>
      <c r="AU7" s="4">
        <f t="shared" si="5"/>
        <v>979310.0426339286</v>
      </c>
      <c r="AV7" s="143">
        <f t="shared" si="47"/>
        <v>0</v>
      </c>
      <c r="AW7" s="143">
        <f t="shared" si="47"/>
        <v>341592.75</v>
      </c>
      <c r="AX7" s="4">
        <f t="shared" si="6"/>
        <v>0</v>
      </c>
      <c r="AY7" s="143">
        <f t="shared" si="47"/>
        <v>0</v>
      </c>
      <c r="AZ7" s="143">
        <f t="shared" si="47"/>
        <v>0</v>
      </c>
      <c r="BA7" s="143">
        <f t="shared" si="47"/>
        <v>0</v>
      </c>
      <c r="BB7" s="143">
        <f t="shared" si="47"/>
        <v>0</v>
      </c>
      <c r="BC7" s="143">
        <f t="shared" si="47"/>
        <v>0</v>
      </c>
      <c r="BD7" s="143">
        <f t="shared" si="47"/>
        <v>0</v>
      </c>
      <c r="BE7" s="143">
        <f t="shared" si="47"/>
        <v>0</v>
      </c>
      <c r="BF7" s="41">
        <f t="shared" si="7"/>
        <v>0</v>
      </c>
      <c r="BG7" s="143">
        <f t="shared" si="47"/>
        <v>0</v>
      </c>
      <c r="BH7" s="143">
        <f t="shared" si="47"/>
        <v>0</v>
      </c>
      <c r="BI7" s="143">
        <f t="shared" si="47"/>
        <v>0</v>
      </c>
      <c r="BJ7" s="143">
        <f t="shared" si="47"/>
        <v>0</v>
      </c>
      <c r="BK7" s="143">
        <f t="shared" si="47"/>
        <v>0</v>
      </c>
      <c r="BL7" s="143">
        <f t="shared" si="47"/>
        <v>0</v>
      </c>
      <c r="BM7" s="143">
        <f t="shared" si="47"/>
        <v>0</v>
      </c>
      <c r="BN7" s="143">
        <f t="shared" si="47"/>
        <v>0</v>
      </c>
      <c r="BO7" s="41">
        <f t="shared" si="8"/>
        <v>0</v>
      </c>
      <c r="BP7" s="143">
        <f t="shared" si="47"/>
        <v>0</v>
      </c>
      <c r="BQ7" s="143">
        <f t="shared" si="47"/>
        <v>0</v>
      </c>
      <c r="BR7" s="143">
        <f t="shared" si="47"/>
        <v>0</v>
      </c>
      <c r="BS7" s="41">
        <f t="shared" si="9"/>
        <v>0</v>
      </c>
      <c r="BT7" s="143">
        <f t="shared" si="47"/>
        <v>123663.42</v>
      </c>
      <c r="BU7" s="143">
        <f t="shared" si="47"/>
        <v>0</v>
      </c>
      <c r="BV7" s="143">
        <f aca="true" t="shared" si="48" ref="BV7:CA7">(BV50/($B$50)*$B$7)+(BV48)</f>
        <v>0</v>
      </c>
      <c r="BW7" s="143">
        <f t="shared" si="48"/>
        <v>341592.75</v>
      </c>
      <c r="BX7" s="4">
        <f t="shared" si="10"/>
        <v>465256.17</v>
      </c>
      <c r="BY7" s="143">
        <f t="shared" si="48"/>
        <v>362193.8</v>
      </c>
      <c r="BZ7" s="143">
        <f t="shared" si="48"/>
        <v>0</v>
      </c>
      <c r="CA7" s="143">
        <f t="shared" si="48"/>
        <v>103062.37</v>
      </c>
      <c r="CB7" s="4">
        <f t="shared" si="11"/>
        <v>465256.17</v>
      </c>
      <c r="CC7" s="4">
        <f t="shared" si="12"/>
        <v>0</v>
      </c>
      <c r="CD7" s="70">
        <f t="shared" si="13"/>
        <v>-175804.8</v>
      </c>
      <c r="CE7" s="72">
        <f t="shared" si="14"/>
        <v>-175804.8</v>
      </c>
      <c r="CF7" s="72">
        <f t="shared" si="15"/>
        <v>0</v>
      </c>
      <c r="CG7" s="72">
        <f t="shared" si="35"/>
        <v>979310.0426339286</v>
      </c>
      <c r="CH7" s="72">
        <f t="shared" si="16"/>
        <v>20276.50284598214</v>
      </c>
      <c r="CI7" s="35">
        <f t="shared" si="17"/>
        <v>186064.45284598216</v>
      </c>
      <c r="CJ7" s="57" t="str">
        <f t="shared" si="36"/>
        <v>-</v>
      </c>
      <c r="CK7" s="57" t="str">
        <f t="shared" si="37"/>
        <v>-</v>
      </c>
      <c r="CL7" s="148">
        <f t="shared" si="38"/>
        <v>-0.17951904131112517</v>
      </c>
      <c r="CM7" s="148">
        <f t="shared" si="39"/>
        <v>-0.17951904131112517</v>
      </c>
      <c r="CN7" s="148">
        <f t="shared" si="40"/>
        <v>0.02070488605574487</v>
      </c>
      <c r="CO7" s="148">
        <f t="shared" si="41"/>
        <v>0.18999545061903758</v>
      </c>
      <c r="CP7" s="148">
        <f t="shared" si="42"/>
        <v>1</v>
      </c>
      <c r="CQ7" s="148">
        <f t="shared" si="43"/>
        <v>1</v>
      </c>
      <c r="CR7" s="149">
        <f t="shared" si="44"/>
        <v>1.3567910546242197</v>
      </c>
      <c r="CS7" s="72">
        <f t="shared" si="45"/>
        <v>-238530.38</v>
      </c>
      <c r="CT7" s="76">
        <f t="shared" si="18"/>
        <v>1155114.8426339286</v>
      </c>
      <c r="CU7" s="76">
        <f t="shared" si="19"/>
        <v>979310.0426339286</v>
      </c>
      <c r="CV7" s="76">
        <f t="shared" si="20"/>
        <v>-175804.80000000005</v>
      </c>
      <c r="CW7" s="76">
        <f t="shared" si="21"/>
        <v>0</v>
      </c>
      <c r="CX7" s="76">
        <f t="shared" si="22"/>
        <v>-175804.80000000005</v>
      </c>
      <c r="CY7" s="76">
        <f t="shared" si="23"/>
        <v>-341592.75000000006</v>
      </c>
      <c r="CZ7" s="76">
        <f t="shared" si="24"/>
        <v>0</v>
      </c>
      <c r="DA7" s="76">
        <f t="shared" si="25"/>
        <v>165787.95</v>
      </c>
      <c r="DB7" s="76">
        <f t="shared" si="26"/>
        <v>-175804.80000000005</v>
      </c>
      <c r="DC7" s="76">
        <f t="shared" si="27"/>
        <v>-165787.95</v>
      </c>
      <c r="DD7" s="76">
        <f t="shared" si="28"/>
        <v>-341592.75000000006</v>
      </c>
      <c r="DE7" s="76">
        <f t="shared" si="29"/>
        <v>486264.4</v>
      </c>
      <c r="DF7" s="76">
        <f t="shared" si="30"/>
        <v>-319.74581769437</v>
      </c>
      <c r="DG7" s="76">
        <f t="shared" si="31"/>
        <v>27.180298721155683</v>
      </c>
      <c r="DH7" s="76">
        <f t="shared" si="32"/>
        <v>651.8289544235926</v>
      </c>
      <c r="DI7" s="77">
        <f t="shared" si="33"/>
        <v>0</v>
      </c>
      <c r="DJ7" s="72">
        <f t="shared" si="34"/>
        <v>-235.66327077747997</v>
      </c>
      <c r="DK7" s="151">
        <f t="shared" si="46"/>
        <v>-238530.38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4">
        <v>659</v>
      </c>
      <c r="C8" s="36">
        <v>1714109</v>
      </c>
      <c r="D8" s="64">
        <v>2601.08</v>
      </c>
      <c r="E8" s="64">
        <v>78.42</v>
      </c>
      <c r="F8" s="124">
        <v>10</v>
      </c>
      <c r="G8" s="144">
        <f>(G49/($B$49)*$B$8)+(G50/($B$50)*$B$8)+(G46)</f>
        <v>850999.750421301</v>
      </c>
      <c r="H8" s="130">
        <f aca="true" t="shared" si="49" ref="H8:BU8">(H49/($B$49)*$B$8)+(H50/($B$50)*$B$8)+(H46)</f>
        <v>145962.76101917805</v>
      </c>
      <c r="I8" s="130">
        <f t="shared" si="49"/>
        <v>26572.661782502644</v>
      </c>
      <c r="J8" s="130">
        <f t="shared" si="49"/>
        <v>0</v>
      </c>
      <c r="K8" s="130">
        <f t="shared" si="49"/>
        <v>135000</v>
      </c>
      <c r="L8" s="130">
        <f t="shared" si="49"/>
        <v>0</v>
      </c>
      <c r="M8" s="41">
        <f t="shared" si="0"/>
        <v>135000</v>
      </c>
      <c r="N8" s="130">
        <f t="shared" si="49"/>
        <v>0</v>
      </c>
      <c r="O8" s="130">
        <f t="shared" si="49"/>
        <v>273332.7236137667</v>
      </c>
      <c r="P8" s="130">
        <f t="shared" si="49"/>
        <v>0</v>
      </c>
      <c r="Q8" s="130">
        <f t="shared" si="49"/>
        <v>0</v>
      </c>
      <c r="R8" s="130">
        <f t="shared" si="49"/>
        <v>0</v>
      </c>
      <c r="S8" s="130">
        <f t="shared" si="49"/>
        <v>0</v>
      </c>
      <c r="T8" s="130">
        <f t="shared" si="49"/>
        <v>0</v>
      </c>
      <c r="U8" s="130">
        <f t="shared" si="49"/>
        <v>0</v>
      </c>
      <c r="V8" s="130">
        <f t="shared" si="49"/>
        <v>0</v>
      </c>
      <c r="W8" s="41">
        <f t="shared" si="1"/>
        <v>0</v>
      </c>
      <c r="X8" s="130">
        <f t="shared" si="49"/>
        <v>6289.144037287028</v>
      </c>
      <c r="Y8" s="41">
        <f t="shared" si="2"/>
        <v>1438157.0408740356</v>
      </c>
      <c r="Z8" s="130">
        <f t="shared" si="49"/>
        <v>187397.15</v>
      </c>
      <c r="AA8" s="130">
        <f t="shared" si="49"/>
        <v>47575.1</v>
      </c>
      <c r="AB8" s="130">
        <f t="shared" si="49"/>
        <v>0</v>
      </c>
      <c r="AC8" s="130">
        <f t="shared" si="49"/>
        <v>2382.65</v>
      </c>
      <c r="AD8" s="130">
        <f t="shared" si="49"/>
        <v>0</v>
      </c>
      <c r="AE8" s="41">
        <f t="shared" si="3"/>
        <v>237354.9</v>
      </c>
      <c r="AF8" s="130">
        <f t="shared" si="49"/>
        <v>0</v>
      </c>
      <c r="AG8" s="130">
        <f t="shared" si="49"/>
        <v>941.2</v>
      </c>
      <c r="AH8" s="130">
        <f t="shared" si="49"/>
        <v>0</v>
      </c>
      <c r="AI8" s="130">
        <f t="shared" si="49"/>
        <v>46021.313659497915</v>
      </c>
      <c r="AJ8" s="130">
        <f t="shared" si="49"/>
        <v>396076.0844642003</v>
      </c>
      <c r="AK8" s="130">
        <f t="shared" si="49"/>
        <v>267532.1243354787</v>
      </c>
      <c r="AL8" s="130">
        <f t="shared" si="49"/>
        <v>359445.03471504967</v>
      </c>
      <c r="AM8" s="130">
        <f t="shared" si="49"/>
        <v>0</v>
      </c>
      <c r="AN8" s="130">
        <f t="shared" si="49"/>
        <v>0</v>
      </c>
      <c r="AO8" s="130">
        <f t="shared" si="49"/>
        <v>0</v>
      </c>
      <c r="AP8" s="130">
        <f t="shared" si="49"/>
        <v>0</v>
      </c>
      <c r="AQ8" s="130">
        <f t="shared" si="49"/>
        <v>0</v>
      </c>
      <c r="AR8" s="130">
        <f t="shared" si="49"/>
        <v>0</v>
      </c>
      <c r="AS8" s="4">
        <f t="shared" si="4"/>
        <v>0</v>
      </c>
      <c r="AT8" s="130">
        <f t="shared" si="49"/>
        <v>9957.452198852772</v>
      </c>
      <c r="AU8" s="4">
        <f t="shared" si="5"/>
        <v>1317328.1093730794</v>
      </c>
      <c r="AV8" s="130">
        <f t="shared" si="49"/>
        <v>0</v>
      </c>
      <c r="AW8" s="130">
        <f t="shared" si="49"/>
        <v>120828.9</v>
      </c>
      <c r="AX8" s="4">
        <f t="shared" si="6"/>
        <v>0.03150095618912019</v>
      </c>
      <c r="AY8" s="130">
        <f t="shared" si="49"/>
        <v>0</v>
      </c>
      <c r="AZ8" s="130">
        <f t="shared" si="49"/>
        <v>0</v>
      </c>
      <c r="BA8" s="130">
        <f t="shared" si="49"/>
        <v>0</v>
      </c>
      <c r="BB8" s="130">
        <f t="shared" si="49"/>
        <v>0</v>
      </c>
      <c r="BC8" s="130">
        <f t="shared" si="49"/>
        <v>0</v>
      </c>
      <c r="BD8" s="130">
        <f t="shared" si="49"/>
        <v>0</v>
      </c>
      <c r="BE8" s="130">
        <f t="shared" si="49"/>
        <v>0</v>
      </c>
      <c r="BF8" s="41">
        <f t="shared" si="7"/>
        <v>0</v>
      </c>
      <c r="BG8" s="130">
        <f t="shared" si="49"/>
        <v>0</v>
      </c>
      <c r="BH8" s="130">
        <f t="shared" si="49"/>
        <v>0</v>
      </c>
      <c r="BI8" s="130">
        <f t="shared" si="49"/>
        <v>0</v>
      </c>
      <c r="BJ8" s="130">
        <f t="shared" si="49"/>
        <v>0</v>
      </c>
      <c r="BK8" s="130">
        <f t="shared" si="49"/>
        <v>0</v>
      </c>
      <c r="BL8" s="130">
        <f t="shared" si="49"/>
        <v>0</v>
      </c>
      <c r="BM8" s="130">
        <f t="shared" si="49"/>
        <v>0</v>
      </c>
      <c r="BN8" s="130">
        <f t="shared" si="49"/>
        <v>0</v>
      </c>
      <c r="BO8" s="41">
        <f t="shared" si="8"/>
        <v>0</v>
      </c>
      <c r="BP8" s="130">
        <f t="shared" si="49"/>
        <v>0</v>
      </c>
      <c r="BQ8" s="130">
        <f t="shared" si="49"/>
        <v>0</v>
      </c>
      <c r="BR8" s="130">
        <f t="shared" si="49"/>
        <v>0</v>
      </c>
      <c r="BS8" s="41">
        <f t="shared" si="9"/>
        <v>0</v>
      </c>
      <c r="BT8" s="130">
        <f t="shared" si="49"/>
        <v>130328.75</v>
      </c>
      <c r="BU8" s="130">
        <f t="shared" si="49"/>
        <v>416668.9</v>
      </c>
      <c r="BV8" s="130">
        <f aca="true" t="shared" si="50" ref="BV8:CA8">(BV49/($B$49)*$B$8)+(BV50/($B$50)*$B$8)+(BV46)</f>
        <v>0</v>
      </c>
      <c r="BW8" s="130">
        <f t="shared" si="50"/>
        <v>47665.649999999994</v>
      </c>
      <c r="BX8" s="4">
        <f t="shared" si="10"/>
        <v>594663.3</v>
      </c>
      <c r="BY8" s="130">
        <f t="shared" si="50"/>
        <v>594663.3</v>
      </c>
      <c r="BZ8" s="130">
        <f t="shared" si="50"/>
        <v>0</v>
      </c>
      <c r="CA8" s="130">
        <f t="shared" si="50"/>
        <v>0</v>
      </c>
      <c r="CB8" s="4">
        <f t="shared" si="11"/>
        <v>594663.3</v>
      </c>
      <c r="CC8" s="4">
        <f t="shared" si="12"/>
        <v>0</v>
      </c>
      <c r="CD8" s="70">
        <f t="shared" si="13"/>
        <v>14171.100000000006</v>
      </c>
      <c r="CE8" s="72">
        <f t="shared" si="14"/>
        <v>14171.100000000006</v>
      </c>
      <c r="CF8" s="72">
        <f t="shared" si="15"/>
        <v>0</v>
      </c>
      <c r="CG8" s="72">
        <f t="shared" si="35"/>
        <v>1307370.6571742266</v>
      </c>
      <c r="CH8" s="72">
        <f t="shared" si="16"/>
        <v>25631.461782502643</v>
      </c>
      <c r="CI8" s="35">
        <f t="shared" si="17"/>
        <v>160631.46178250265</v>
      </c>
      <c r="CJ8" s="57" t="str">
        <f t="shared" si="36"/>
        <v>-</v>
      </c>
      <c r="CK8" s="57" t="str">
        <f t="shared" si="37"/>
        <v>-</v>
      </c>
      <c r="CL8" s="148">
        <f t="shared" si="38"/>
        <v>0.010839389672879507</v>
      </c>
      <c r="CM8" s="148">
        <f t="shared" si="39"/>
        <v>0.010839389672879507</v>
      </c>
      <c r="CN8" s="148">
        <f t="shared" si="40"/>
        <v>0.01960535188842537</v>
      </c>
      <c r="CO8" s="148">
        <f t="shared" si="41"/>
        <v>0.12286604483666036</v>
      </c>
      <c r="CP8" s="148">
        <f t="shared" si="42"/>
        <v>0.24471200025957598</v>
      </c>
      <c r="CQ8" s="148">
        <f t="shared" si="43"/>
        <v>0.24471200025957598</v>
      </c>
      <c r="CR8" s="149">
        <f t="shared" si="44"/>
        <v>-32.7663025453211</v>
      </c>
      <c r="CS8" s="72">
        <f t="shared" si="45"/>
        <v>-464334.55000000005</v>
      </c>
      <c r="CT8" s="76">
        <f t="shared" si="18"/>
        <v>1303157.0408740356</v>
      </c>
      <c r="CU8" s="76">
        <f t="shared" si="19"/>
        <v>1317328.1093730794</v>
      </c>
      <c r="CV8" s="76">
        <f t="shared" si="20"/>
        <v>14171.068499043817</v>
      </c>
      <c r="CW8" s="76">
        <f t="shared" si="21"/>
        <v>0</v>
      </c>
      <c r="CX8" s="76">
        <f t="shared" si="22"/>
        <v>14171.068499043817</v>
      </c>
      <c r="CY8" s="76">
        <f t="shared" si="23"/>
        <v>-120828.93150095618</v>
      </c>
      <c r="CZ8" s="76">
        <f t="shared" si="24"/>
        <v>0</v>
      </c>
      <c r="DA8" s="76">
        <f t="shared" si="25"/>
        <v>135000</v>
      </c>
      <c r="DB8" s="76">
        <f t="shared" si="26"/>
        <v>14171.068499043817</v>
      </c>
      <c r="DC8" s="76">
        <f t="shared" si="27"/>
        <v>-135000</v>
      </c>
      <c r="DD8" s="76">
        <f t="shared" si="28"/>
        <v>-120828.93150095618</v>
      </c>
      <c r="DE8" s="76">
        <f t="shared" si="29"/>
        <v>234972.25</v>
      </c>
      <c r="DF8" s="76">
        <f t="shared" si="30"/>
        <v>-704.6047799696511</v>
      </c>
      <c r="DG8" s="76">
        <f t="shared" si="31"/>
        <v>38.89447918437427</v>
      </c>
      <c r="DH8" s="76">
        <f t="shared" si="32"/>
        <v>356.5588012139605</v>
      </c>
      <c r="DI8" s="77">
        <f t="shared" si="33"/>
        <v>0</v>
      </c>
      <c r="DJ8" s="72">
        <f t="shared" si="34"/>
        <v>21.503897570627945</v>
      </c>
      <c r="DK8" s="151">
        <f t="shared" si="46"/>
        <v>-464334.55000000005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39">
        <v>2792</v>
      </c>
      <c r="C9" s="4">
        <v>10012131</v>
      </c>
      <c r="D9" s="66">
        <v>3586.01</v>
      </c>
      <c r="E9" s="66">
        <v>108.11</v>
      </c>
      <c r="F9" s="8">
        <v>10</v>
      </c>
      <c r="G9" s="129">
        <v>1750979.65</v>
      </c>
      <c r="H9" s="41">
        <v>290012.15</v>
      </c>
      <c r="I9" s="41">
        <v>23671.7</v>
      </c>
      <c r="J9" s="41">
        <v>0</v>
      </c>
      <c r="K9" s="41">
        <v>100000</v>
      </c>
      <c r="L9" s="41">
        <v>75000</v>
      </c>
      <c r="M9" s="41">
        <f t="shared" si="0"/>
        <v>175000</v>
      </c>
      <c r="N9" s="41">
        <v>0</v>
      </c>
      <c r="O9" s="41">
        <v>770505.15</v>
      </c>
      <c r="P9" s="41">
        <v>0</v>
      </c>
      <c r="Q9" s="41">
        <v>0</v>
      </c>
      <c r="R9" s="41">
        <v>0</v>
      </c>
      <c r="S9" s="41">
        <v>0</v>
      </c>
      <c r="T9" s="41">
        <v>200000</v>
      </c>
      <c r="U9" s="41">
        <v>0</v>
      </c>
      <c r="V9" s="41">
        <v>0</v>
      </c>
      <c r="W9" s="41">
        <f t="shared" si="1"/>
        <v>200000</v>
      </c>
      <c r="X9" s="41">
        <v>0</v>
      </c>
      <c r="Y9" s="41">
        <f t="shared" si="2"/>
        <v>3210168.65</v>
      </c>
      <c r="Z9" s="41">
        <v>1306580.9</v>
      </c>
      <c r="AA9" s="41">
        <v>105986.75</v>
      </c>
      <c r="AB9" s="41">
        <v>0</v>
      </c>
      <c r="AC9" s="41">
        <v>11777.9</v>
      </c>
      <c r="AD9" s="41">
        <v>0</v>
      </c>
      <c r="AE9" s="41">
        <f t="shared" si="3"/>
        <v>1424345.5499999998</v>
      </c>
      <c r="AF9" s="41">
        <v>0</v>
      </c>
      <c r="AG9" s="41">
        <v>24831.65</v>
      </c>
      <c r="AH9" s="41">
        <v>0</v>
      </c>
      <c r="AI9" s="41">
        <v>14347.85</v>
      </c>
      <c r="AJ9" s="41">
        <v>987097.15</v>
      </c>
      <c r="AK9" s="41">
        <v>6778.2</v>
      </c>
      <c r="AL9" s="41">
        <v>759087.5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3216487.8999999994</v>
      </c>
      <c r="AV9" s="4">
        <v>6319.25</v>
      </c>
      <c r="AW9" s="4">
        <v>0</v>
      </c>
      <c r="AX9" s="4">
        <f t="shared" si="6"/>
        <v>4.656612873077393E-10</v>
      </c>
      <c r="AY9" s="41">
        <v>0</v>
      </c>
      <c r="AZ9" s="41">
        <v>219508.5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219508.5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220000</v>
      </c>
      <c r="BM9" s="41">
        <v>0</v>
      </c>
      <c r="BN9" s="41">
        <v>0</v>
      </c>
      <c r="BO9" s="41">
        <f t="shared" si="8"/>
        <v>220000</v>
      </c>
      <c r="BP9" s="41">
        <v>220000</v>
      </c>
      <c r="BQ9" s="41">
        <v>0</v>
      </c>
      <c r="BR9" s="41">
        <v>219508.5</v>
      </c>
      <c r="BS9" s="41">
        <f t="shared" si="9"/>
        <v>0</v>
      </c>
      <c r="BT9" s="4">
        <v>976014.1</v>
      </c>
      <c r="BU9" s="4">
        <v>970004</v>
      </c>
      <c r="BV9" s="4">
        <v>0</v>
      </c>
      <c r="BW9" s="4">
        <v>0</v>
      </c>
      <c r="BX9" s="4">
        <f t="shared" si="10"/>
        <v>1946018.1</v>
      </c>
      <c r="BY9" s="4">
        <v>823078.1</v>
      </c>
      <c r="BZ9" s="4">
        <v>727451.85</v>
      </c>
      <c r="CA9" s="4">
        <v>395488.15</v>
      </c>
      <c r="CB9" s="4">
        <f t="shared" si="11"/>
        <v>1946018.1</v>
      </c>
      <c r="CC9" s="4">
        <f t="shared" si="12"/>
        <v>0</v>
      </c>
      <c r="CD9" s="70">
        <f t="shared" si="13"/>
        <v>181319.25</v>
      </c>
      <c r="CE9" s="72">
        <f t="shared" si="14"/>
        <v>381319.25</v>
      </c>
      <c r="CF9" s="72">
        <f t="shared" si="15"/>
        <v>-491.5</v>
      </c>
      <c r="CG9" s="72">
        <f t="shared" si="35"/>
        <v>3216487.8999999994</v>
      </c>
      <c r="CH9" s="72">
        <f t="shared" si="16"/>
        <v>-1159.9500000000007</v>
      </c>
      <c r="CI9" s="35">
        <f t="shared" si="17"/>
        <v>98840.05</v>
      </c>
      <c r="CJ9" s="57">
        <f t="shared" si="36"/>
        <v>-368.90996948118004</v>
      </c>
      <c r="CK9" s="57">
        <f t="shared" si="37"/>
        <v>-775.8275686673448</v>
      </c>
      <c r="CL9" s="148">
        <f t="shared" si="38"/>
        <v>0.056371811627209924</v>
      </c>
      <c r="CM9" s="148">
        <f t="shared" si="39"/>
        <v>0.11855143307083482</v>
      </c>
      <c r="CN9" s="148">
        <f t="shared" si="40"/>
        <v>-0.0003606262594676638</v>
      </c>
      <c r="CO9" s="148">
        <f t="shared" si="41"/>
        <v>0.03072918446234479</v>
      </c>
      <c r="CP9" s="148">
        <f t="shared" si="42"/>
        <v>0.15283789401609077</v>
      </c>
      <c r="CQ9" s="148">
        <f t="shared" si="43"/>
        <v>0.08733593943776616</v>
      </c>
      <c r="CR9" s="149">
        <f t="shared" si="44"/>
        <v>0.40107075632819483</v>
      </c>
      <c r="CS9" s="72">
        <f t="shared" si="45"/>
        <v>152936</v>
      </c>
      <c r="CT9" s="76">
        <f t="shared" si="18"/>
        <v>3035168.65</v>
      </c>
      <c r="CU9" s="76">
        <f t="shared" si="19"/>
        <v>3216487.8999999994</v>
      </c>
      <c r="CV9" s="76">
        <f t="shared" si="20"/>
        <v>181319.24999999953</v>
      </c>
      <c r="CW9" s="76">
        <f t="shared" si="21"/>
        <v>0</v>
      </c>
      <c r="CX9" s="76">
        <f t="shared" si="22"/>
        <v>181319.24999999953</v>
      </c>
      <c r="CY9" s="76">
        <f t="shared" si="23"/>
        <v>6319.249999999534</v>
      </c>
      <c r="CZ9" s="76">
        <f t="shared" si="24"/>
        <v>-491.5</v>
      </c>
      <c r="DA9" s="76">
        <f t="shared" si="25"/>
        <v>175000</v>
      </c>
      <c r="DB9" s="76">
        <f t="shared" si="26"/>
        <v>181810.74999999953</v>
      </c>
      <c r="DC9" s="76">
        <f t="shared" si="27"/>
        <v>-395000</v>
      </c>
      <c r="DD9" s="76">
        <f t="shared" si="28"/>
        <v>6319.249999999534</v>
      </c>
      <c r="DE9" s="76">
        <f t="shared" si="29"/>
        <v>1412567.65</v>
      </c>
      <c r="DF9" s="76">
        <f t="shared" si="30"/>
        <v>54.77650429799427</v>
      </c>
      <c r="DG9" s="76">
        <f t="shared" si="31"/>
        <v>-0.4154548710601722</v>
      </c>
      <c r="DH9" s="76">
        <f t="shared" si="32"/>
        <v>505.93397206303723</v>
      </c>
      <c r="DI9" s="77">
        <f t="shared" si="33"/>
        <v>-0.17603868194842406</v>
      </c>
      <c r="DJ9" s="72">
        <f t="shared" si="34"/>
        <v>65.11846346704854</v>
      </c>
      <c r="DK9" s="151">
        <f t="shared" si="46"/>
        <v>-574515.85</v>
      </c>
      <c r="DL9" s="72">
        <v>54</v>
      </c>
      <c r="DM9" s="72">
        <v>219</v>
      </c>
      <c r="DN9" s="63">
        <v>0</v>
      </c>
    </row>
    <row r="10" spans="1:118" ht="12.75">
      <c r="A10" s="49" t="s">
        <v>5</v>
      </c>
      <c r="B10" s="44">
        <v>529</v>
      </c>
      <c r="C10" s="36">
        <v>1124605</v>
      </c>
      <c r="D10" s="64">
        <v>2125.91</v>
      </c>
      <c r="E10" s="64">
        <v>64.09</v>
      </c>
      <c r="F10" s="124">
        <v>10</v>
      </c>
      <c r="G10" s="130">
        <v>355634.05</v>
      </c>
      <c r="H10" s="40">
        <v>62109.65</v>
      </c>
      <c r="I10" s="40">
        <v>44691.35</v>
      </c>
      <c r="J10" s="40">
        <v>0</v>
      </c>
      <c r="K10" s="40">
        <v>58107.15</v>
      </c>
      <c r="L10" s="40">
        <v>0</v>
      </c>
      <c r="M10" s="41">
        <f t="shared" si="0"/>
        <v>58107.15</v>
      </c>
      <c r="N10" s="40">
        <v>0</v>
      </c>
      <c r="O10" s="40">
        <v>157290.05</v>
      </c>
      <c r="P10" s="40">
        <v>5500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683332.2499999999</v>
      </c>
      <c r="Z10" s="40">
        <v>149830.5</v>
      </c>
      <c r="AA10" s="40">
        <v>842.1</v>
      </c>
      <c r="AB10" s="40">
        <v>0</v>
      </c>
      <c r="AC10" s="40">
        <v>9058.65</v>
      </c>
      <c r="AD10" s="40">
        <v>0</v>
      </c>
      <c r="AE10" s="41">
        <f t="shared" si="3"/>
        <v>159731.25</v>
      </c>
      <c r="AF10" s="40">
        <v>0</v>
      </c>
      <c r="AG10" s="40">
        <v>182.35</v>
      </c>
      <c r="AH10" s="40">
        <v>0</v>
      </c>
      <c r="AI10" s="40">
        <v>11117.65</v>
      </c>
      <c r="AJ10" s="40">
        <v>221608.45</v>
      </c>
      <c r="AK10" s="40">
        <v>0</v>
      </c>
      <c r="AL10" s="40">
        <v>266726.05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659365.75</v>
      </c>
      <c r="AV10" s="36">
        <v>0</v>
      </c>
      <c r="AW10" s="36">
        <v>23966.5</v>
      </c>
      <c r="AX10" s="4">
        <f t="shared" si="6"/>
        <v>-1.1641532182693481E-10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360440.8</v>
      </c>
      <c r="BU10" s="36">
        <v>917277</v>
      </c>
      <c r="BV10" s="36">
        <v>0</v>
      </c>
      <c r="BW10" s="36">
        <v>0</v>
      </c>
      <c r="BX10" s="4">
        <f t="shared" si="10"/>
        <v>1277717.8</v>
      </c>
      <c r="BY10" s="36">
        <v>1257600.15</v>
      </c>
      <c r="BZ10" s="36">
        <v>0</v>
      </c>
      <c r="CA10" s="36">
        <v>20117.65</v>
      </c>
      <c r="CB10" s="4">
        <f t="shared" si="11"/>
        <v>1277717.7999999998</v>
      </c>
      <c r="CC10" s="4">
        <f t="shared" si="12"/>
        <v>0</v>
      </c>
      <c r="CD10" s="70">
        <f t="shared" si="13"/>
        <v>34140.65</v>
      </c>
      <c r="CE10" s="72">
        <f t="shared" si="14"/>
        <v>34140.65</v>
      </c>
      <c r="CF10" s="72">
        <f t="shared" si="15"/>
        <v>0</v>
      </c>
      <c r="CG10" s="72">
        <f t="shared" si="35"/>
        <v>659365.75</v>
      </c>
      <c r="CH10" s="72">
        <f t="shared" si="16"/>
        <v>44509</v>
      </c>
      <c r="CI10" s="35">
        <f t="shared" si="17"/>
        <v>102616.15</v>
      </c>
      <c r="CJ10" s="57" t="str">
        <f t="shared" si="36"/>
        <v>-</v>
      </c>
      <c r="CK10" s="57" t="str">
        <f t="shared" si="37"/>
        <v>-</v>
      </c>
      <c r="CL10" s="148">
        <f t="shared" si="38"/>
        <v>0.0517780154641032</v>
      </c>
      <c r="CM10" s="148">
        <f t="shared" si="39"/>
        <v>0.0517780154641032</v>
      </c>
      <c r="CN10" s="148">
        <f t="shared" si="40"/>
        <v>0.0675027479058474</v>
      </c>
      <c r="CO10" s="148">
        <f t="shared" si="41"/>
        <v>0.15562857185105533</v>
      </c>
      <c r="CP10" s="148">
        <f t="shared" si="42"/>
        <v>0.05957360492273737</v>
      </c>
      <c r="CQ10" s="148">
        <f t="shared" si="43"/>
        <v>0.05957360492273737</v>
      </c>
      <c r="CR10" s="149">
        <f t="shared" si="44"/>
        <v>-26.278332427765722</v>
      </c>
      <c r="CS10" s="72">
        <f t="shared" si="45"/>
        <v>-897159.3499999999</v>
      </c>
      <c r="CT10" s="76">
        <f t="shared" si="18"/>
        <v>625225.0999999999</v>
      </c>
      <c r="CU10" s="76">
        <f t="shared" si="19"/>
        <v>659365.75</v>
      </c>
      <c r="CV10" s="76">
        <f t="shared" si="20"/>
        <v>34140.65000000014</v>
      </c>
      <c r="CW10" s="76">
        <f t="shared" si="21"/>
        <v>0</v>
      </c>
      <c r="CX10" s="76">
        <f t="shared" si="22"/>
        <v>34140.65000000014</v>
      </c>
      <c r="CY10" s="76">
        <f t="shared" si="23"/>
        <v>-23966.49999999986</v>
      </c>
      <c r="CZ10" s="76">
        <f t="shared" si="24"/>
        <v>0</v>
      </c>
      <c r="DA10" s="76">
        <f t="shared" si="25"/>
        <v>58107.15</v>
      </c>
      <c r="DB10" s="76">
        <f t="shared" si="26"/>
        <v>34140.65000000014</v>
      </c>
      <c r="DC10" s="76">
        <f t="shared" si="27"/>
        <v>-58107.15</v>
      </c>
      <c r="DD10" s="76">
        <f t="shared" si="28"/>
        <v>-23966.49999999986</v>
      </c>
      <c r="DE10" s="76">
        <f t="shared" si="29"/>
        <v>150672.6</v>
      </c>
      <c r="DF10" s="76">
        <f t="shared" si="30"/>
        <v>-1695.9534026465026</v>
      </c>
      <c r="DG10" s="76">
        <f t="shared" si="31"/>
        <v>84.13799621928166</v>
      </c>
      <c r="DH10" s="76">
        <f t="shared" si="32"/>
        <v>284.8253308128545</v>
      </c>
      <c r="DI10" s="77">
        <f t="shared" si="33"/>
        <v>0</v>
      </c>
      <c r="DJ10" s="72">
        <f t="shared" si="34"/>
        <v>64.53809073724034</v>
      </c>
      <c r="DK10" s="151">
        <f t="shared" si="46"/>
        <v>-897159.35</v>
      </c>
      <c r="DL10" s="136">
        <v>16</v>
      </c>
      <c r="DM10" s="136">
        <v>41</v>
      </c>
      <c r="DN10" s="65">
        <v>0</v>
      </c>
    </row>
    <row r="11" spans="1:118" ht="12.75">
      <c r="A11" s="50" t="s">
        <v>6</v>
      </c>
      <c r="B11" s="39">
        <v>5737</v>
      </c>
      <c r="C11" s="4">
        <v>22294501</v>
      </c>
      <c r="D11" s="66">
        <v>3886.09</v>
      </c>
      <c r="E11" s="66">
        <v>117.16</v>
      </c>
      <c r="F11" s="8">
        <v>14</v>
      </c>
      <c r="G11" s="129">
        <f>(G42/($B$11+$B$27)*$B$11)</f>
        <v>4049684.997667087</v>
      </c>
      <c r="H11" s="129">
        <f aca="true" t="shared" si="51" ref="H11:AD11">(H42/($B$11+$B$27)*$B$11)</f>
        <v>913531.7466346154</v>
      </c>
      <c r="I11" s="129">
        <f t="shared" si="51"/>
        <v>410445.0920554855</v>
      </c>
      <c r="J11" s="129">
        <f t="shared" si="51"/>
        <v>11303.988020176545</v>
      </c>
      <c r="K11" s="129">
        <f t="shared" si="51"/>
        <v>595486.8543505674</v>
      </c>
      <c r="L11" s="129">
        <f t="shared" si="51"/>
        <v>129433.01406052963</v>
      </c>
      <c r="M11" s="41">
        <f t="shared" si="0"/>
        <v>724919.8684110971</v>
      </c>
      <c r="N11" s="129">
        <f t="shared" si="51"/>
        <v>0</v>
      </c>
      <c r="O11" s="129">
        <f t="shared" si="51"/>
        <v>1670319.9085040982</v>
      </c>
      <c r="P11" s="129">
        <f t="shared" si="51"/>
        <v>0</v>
      </c>
      <c r="Q11" s="129">
        <f t="shared" si="51"/>
        <v>0</v>
      </c>
      <c r="R11" s="129">
        <f t="shared" si="51"/>
        <v>0</v>
      </c>
      <c r="S11" s="129">
        <f t="shared" si="51"/>
        <v>0</v>
      </c>
      <c r="T11" s="129">
        <f t="shared" si="51"/>
        <v>0</v>
      </c>
      <c r="U11" s="129">
        <f t="shared" si="51"/>
        <v>0</v>
      </c>
      <c r="V11" s="129">
        <f t="shared" si="51"/>
        <v>0</v>
      </c>
      <c r="W11" s="41">
        <f t="shared" si="1"/>
        <v>0</v>
      </c>
      <c r="X11" s="129">
        <f t="shared" si="51"/>
        <v>0</v>
      </c>
      <c r="Y11" s="41">
        <f t="shared" si="2"/>
        <v>7780205.601292561</v>
      </c>
      <c r="Z11" s="129">
        <f t="shared" si="51"/>
        <v>3604148.845168663</v>
      </c>
      <c r="AA11" s="129">
        <f t="shared" si="51"/>
        <v>330481.9468474149</v>
      </c>
      <c r="AB11" s="129">
        <f t="shared" si="51"/>
        <v>0</v>
      </c>
      <c r="AC11" s="129">
        <f t="shared" si="51"/>
        <v>244945.66424968472</v>
      </c>
      <c r="AD11" s="129">
        <f t="shared" si="51"/>
        <v>0</v>
      </c>
      <c r="AE11" s="41">
        <f t="shared" si="3"/>
        <v>4179576.456265763</v>
      </c>
      <c r="AF11" s="129">
        <f>(AF42/($B$11+$B$27)*$B$11)</f>
        <v>0</v>
      </c>
      <c r="AG11" s="129">
        <f aca="true" t="shared" si="52" ref="AG11:CA11">(AG42/($B$11+$B$27)*$B$11)</f>
        <v>229144.1811238966</v>
      </c>
      <c r="AH11" s="129">
        <f t="shared" si="52"/>
        <v>0</v>
      </c>
      <c r="AI11" s="129">
        <f t="shared" si="52"/>
        <v>156346.94139029004</v>
      </c>
      <c r="AJ11" s="129">
        <f t="shared" si="52"/>
        <v>1569251.0420476042</v>
      </c>
      <c r="AK11" s="129">
        <f t="shared" si="52"/>
        <v>58554.34143284994</v>
      </c>
      <c r="AL11" s="129">
        <f t="shared" si="52"/>
        <v>1508560.1112310842</v>
      </c>
      <c r="AM11" s="129">
        <f t="shared" si="52"/>
        <v>0</v>
      </c>
      <c r="AN11" s="129">
        <f t="shared" si="52"/>
        <v>0</v>
      </c>
      <c r="AO11" s="129">
        <f t="shared" si="52"/>
        <v>0</v>
      </c>
      <c r="AP11" s="129">
        <f t="shared" si="52"/>
        <v>0</v>
      </c>
      <c r="AQ11" s="129">
        <f t="shared" si="52"/>
        <v>0</v>
      </c>
      <c r="AR11" s="129">
        <f t="shared" si="52"/>
        <v>0</v>
      </c>
      <c r="AS11" s="4">
        <f t="shared" si="4"/>
        <v>0</v>
      </c>
      <c r="AT11" s="129">
        <f t="shared" si="52"/>
        <v>101455.55327868853</v>
      </c>
      <c r="AU11" s="4">
        <f t="shared" si="5"/>
        <v>7802888.62677018</v>
      </c>
      <c r="AV11" s="129">
        <f t="shared" si="52"/>
        <v>22683.025477616648</v>
      </c>
      <c r="AW11" s="129">
        <f t="shared" si="52"/>
        <v>0</v>
      </c>
      <c r="AX11" s="4">
        <f t="shared" si="6"/>
        <v>-2.2628228180110455E-09</v>
      </c>
      <c r="AY11" s="129">
        <f t="shared" si="52"/>
        <v>0</v>
      </c>
      <c r="AZ11" s="129">
        <f t="shared" si="52"/>
        <v>64977.08656210593</v>
      </c>
      <c r="BA11" s="129">
        <f t="shared" si="52"/>
        <v>0</v>
      </c>
      <c r="BB11" s="129">
        <f t="shared" si="52"/>
        <v>0</v>
      </c>
      <c r="BC11" s="129">
        <f t="shared" si="52"/>
        <v>0</v>
      </c>
      <c r="BD11" s="129">
        <f t="shared" si="52"/>
        <v>0</v>
      </c>
      <c r="BE11" s="129">
        <f t="shared" si="52"/>
        <v>0</v>
      </c>
      <c r="BF11" s="41">
        <f t="shared" si="7"/>
        <v>64977.08656210593</v>
      </c>
      <c r="BG11" s="129">
        <f t="shared" si="52"/>
        <v>0</v>
      </c>
      <c r="BH11" s="129">
        <f t="shared" si="52"/>
        <v>0</v>
      </c>
      <c r="BI11" s="129">
        <f t="shared" si="52"/>
        <v>0</v>
      </c>
      <c r="BJ11" s="129">
        <f t="shared" si="52"/>
        <v>0</v>
      </c>
      <c r="BK11" s="129">
        <f t="shared" si="52"/>
        <v>0</v>
      </c>
      <c r="BL11" s="129">
        <f t="shared" si="52"/>
        <v>0</v>
      </c>
      <c r="BM11" s="129">
        <f t="shared" si="52"/>
        <v>25863.524590163935</v>
      </c>
      <c r="BN11" s="129">
        <f t="shared" si="52"/>
        <v>0</v>
      </c>
      <c r="BO11" s="41">
        <f t="shared" si="8"/>
        <v>25863.524590163935</v>
      </c>
      <c r="BP11" s="129">
        <f t="shared" si="52"/>
        <v>25863.524590163935</v>
      </c>
      <c r="BQ11" s="129">
        <f t="shared" si="52"/>
        <v>0</v>
      </c>
      <c r="BR11" s="129">
        <f t="shared" si="52"/>
        <v>64977.08656210593</v>
      </c>
      <c r="BS11" s="41">
        <f t="shared" si="9"/>
        <v>0</v>
      </c>
      <c r="BT11" s="129">
        <f t="shared" si="52"/>
        <v>5891451.181210593</v>
      </c>
      <c r="BU11" s="129">
        <f t="shared" si="52"/>
        <v>6313571.212957125</v>
      </c>
      <c r="BV11" s="129">
        <f t="shared" si="52"/>
        <v>0</v>
      </c>
      <c r="BW11" s="129">
        <f t="shared" si="52"/>
        <v>0</v>
      </c>
      <c r="BX11" s="4">
        <f t="shared" si="10"/>
        <v>12205022.394167718</v>
      </c>
      <c r="BY11" s="129">
        <f t="shared" si="52"/>
        <v>11552465.050283732</v>
      </c>
      <c r="BZ11" s="129">
        <f t="shared" si="52"/>
        <v>0</v>
      </c>
      <c r="CA11" s="129">
        <f t="shared" si="52"/>
        <v>652557.3438839848</v>
      </c>
      <c r="CB11" s="4">
        <f t="shared" si="11"/>
        <v>12205022.394167718</v>
      </c>
      <c r="CC11" s="4">
        <f t="shared" si="12"/>
        <v>0</v>
      </c>
      <c r="CD11" s="70">
        <f t="shared" si="13"/>
        <v>747602.8938887138</v>
      </c>
      <c r="CE11" s="72">
        <f t="shared" si="14"/>
        <v>747602.8938887138</v>
      </c>
      <c r="CF11" s="72">
        <f t="shared" si="15"/>
        <v>39113.56197194199</v>
      </c>
      <c r="CG11" s="72">
        <f t="shared" si="35"/>
        <v>7701433.073491491</v>
      </c>
      <c r="CH11" s="72">
        <f t="shared" si="16"/>
        <v>181300.91093158894</v>
      </c>
      <c r="CI11" s="35">
        <f t="shared" si="17"/>
        <v>776787.7652821564</v>
      </c>
      <c r="CJ11" s="57">
        <f t="shared" si="36"/>
        <v>19.113648979988188</v>
      </c>
      <c r="CK11" s="57">
        <f t="shared" si="37"/>
        <v>19.113648979988188</v>
      </c>
      <c r="CL11" s="148">
        <f t="shared" si="38"/>
        <v>0.09707321828998035</v>
      </c>
      <c r="CM11" s="148">
        <f t="shared" si="39"/>
        <v>0.09707321828998035</v>
      </c>
      <c r="CN11" s="148">
        <f t="shared" si="40"/>
        <v>0.023541191516112867</v>
      </c>
      <c r="CO11" s="148">
        <f t="shared" si="41"/>
        <v>0.10086275604418062</v>
      </c>
      <c r="CP11" s="148">
        <f t="shared" si="42"/>
        <v>0.10299364736428405</v>
      </c>
      <c r="CQ11" s="148">
        <f t="shared" si="43"/>
        <v>0.08460433457490577</v>
      </c>
      <c r="CR11" s="149">
        <f t="shared" si="44"/>
        <v>-7.572220379761963</v>
      </c>
      <c r="CS11" s="72">
        <f t="shared" si="45"/>
        <v>-5661013.869073139</v>
      </c>
      <c r="CT11" s="76">
        <f t="shared" si="18"/>
        <v>7055285.732881463</v>
      </c>
      <c r="CU11" s="76">
        <f t="shared" si="19"/>
        <v>7802888.62677018</v>
      </c>
      <c r="CV11" s="76">
        <f t="shared" si="20"/>
        <v>747602.8938887166</v>
      </c>
      <c r="CW11" s="76">
        <f t="shared" si="21"/>
        <v>0</v>
      </c>
      <c r="CX11" s="76">
        <f t="shared" si="22"/>
        <v>747602.8938887166</v>
      </c>
      <c r="CY11" s="76">
        <f t="shared" si="23"/>
        <v>22683.025477619507</v>
      </c>
      <c r="CZ11" s="76">
        <f t="shared" si="24"/>
        <v>39113.56197194199</v>
      </c>
      <c r="DA11" s="76">
        <f t="shared" si="25"/>
        <v>724919.8684110971</v>
      </c>
      <c r="DB11" s="76">
        <f t="shared" si="26"/>
        <v>708489.3319167746</v>
      </c>
      <c r="DC11" s="76">
        <f t="shared" si="27"/>
        <v>-750783.393001261</v>
      </c>
      <c r="DD11" s="76">
        <f t="shared" si="28"/>
        <v>22683.0254776195</v>
      </c>
      <c r="DE11" s="76">
        <f t="shared" si="29"/>
        <v>3934630.7920160783</v>
      </c>
      <c r="DF11" s="76">
        <f t="shared" si="30"/>
        <v>-986.7550756620426</v>
      </c>
      <c r="DG11" s="76">
        <f t="shared" si="31"/>
        <v>31.602041298865075</v>
      </c>
      <c r="DH11" s="76">
        <f t="shared" si="32"/>
        <v>685.834197667087</v>
      </c>
      <c r="DI11" s="77">
        <f t="shared" si="33"/>
        <v>6.817772698612862</v>
      </c>
      <c r="DJ11" s="72">
        <f t="shared" si="34"/>
        <v>123.49474148802068</v>
      </c>
      <c r="DK11" s="151">
        <f t="shared" si="46"/>
        <v>-5661013.86907314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4">
        <v>633</v>
      </c>
      <c r="C12" s="36">
        <v>1416528</v>
      </c>
      <c r="D12" s="64">
        <v>2237.8</v>
      </c>
      <c r="E12" s="64">
        <v>67.47</v>
      </c>
      <c r="F12" s="124">
        <v>12</v>
      </c>
      <c r="G12" s="130">
        <f>(G43/($B$12+$B$14+$B$23)*$B$12)</f>
        <v>0</v>
      </c>
      <c r="H12" s="130">
        <f aca="true" t="shared" si="53" ref="H12:BU12">(H43/($B$12+$B$14+$B$23)*$B$12)</f>
        <v>0</v>
      </c>
      <c r="I12" s="130">
        <f t="shared" si="53"/>
        <v>0</v>
      </c>
      <c r="J12" s="130">
        <f t="shared" si="53"/>
        <v>0</v>
      </c>
      <c r="K12" s="130">
        <f t="shared" si="53"/>
        <v>0</v>
      </c>
      <c r="L12" s="130">
        <f t="shared" si="53"/>
        <v>0</v>
      </c>
      <c r="M12" s="41">
        <f t="shared" si="0"/>
        <v>0</v>
      </c>
      <c r="N12" s="130">
        <f t="shared" si="53"/>
        <v>0</v>
      </c>
      <c r="O12" s="130">
        <f t="shared" si="53"/>
        <v>0</v>
      </c>
      <c r="P12" s="130">
        <f t="shared" si="53"/>
        <v>0</v>
      </c>
      <c r="Q12" s="130">
        <f t="shared" si="53"/>
        <v>0</v>
      </c>
      <c r="R12" s="130">
        <f t="shared" si="53"/>
        <v>0</v>
      </c>
      <c r="S12" s="130">
        <f t="shared" si="53"/>
        <v>0</v>
      </c>
      <c r="T12" s="130">
        <f t="shared" si="53"/>
        <v>0</v>
      </c>
      <c r="U12" s="130">
        <f t="shared" si="53"/>
        <v>0</v>
      </c>
      <c r="V12" s="130">
        <f t="shared" si="53"/>
        <v>0</v>
      </c>
      <c r="W12" s="41">
        <f t="shared" si="1"/>
        <v>0</v>
      </c>
      <c r="X12" s="130">
        <f t="shared" si="53"/>
        <v>0</v>
      </c>
      <c r="Y12" s="41">
        <f t="shared" si="2"/>
        <v>0</v>
      </c>
      <c r="Z12" s="130">
        <f t="shared" si="53"/>
        <v>0</v>
      </c>
      <c r="AA12" s="130">
        <f t="shared" si="53"/>
        <v>0</v>
      </c>
      <c r="AB12" s="130">
        <f t="shared" si="53"/>
        <v>0</v>
      </c>
      <c r="AC12" s="130">
        <f t="shared" si="53"/>
        <v>0</v>
      </c>
      <c r="AD12" s="130">
        <f t="shared" si="53"/>
        <v>0</v>
      </c>
      <c r="AE12" s="41">
        <f t="shared" si="3"/>
        <v>0</v>
      </c>
      <c r="AF12" s="130">
        <f t="shared" si="53"/>
        <v>0</v>
      </c>
      <c r="AG12" s="130">
        <f t="shared" si="53"/>
        <v>0</v>
      </c>
      <c r="AH12" s="130">
        <f t="shared" si="53"/>
        <v>0</v>
      </c>
      <c r="AI12" s="130">
        <f t="shared" si="53"/>
        <v>0</v>
      </c>
      <c r="AJ12" s="130">
        <f t="shared" si="53"/>
        <v>0</v>
      </c>
      <c r="AK12" s="130">
        <f t="shared" si="53"/>
        <v>0</v>
      </c>
      <c r="AL12" s="130">
        <f t="shared" si="53"/>
        <v>0</v>
      </c>
      <c r="AM12" s="130">
        <f t="shared" si="53"/>
        <v>0</v>
      </c>
      <c r="AN12" s="130">
        <f t="shared" si="53"/>
        <v>0</v>
      </c>
      <c r="AO12" s="130">
        <f t="shared" si="53"/>
        <v>0</v>
      </c>
      <c r="AP12" s="130">
        <f t="shared" si="53"/>
        <v>0</v>
      </c>
      <c r="AQ12" s="130">
        <f t="shared" si="53"/>
        <v>0</v>
      </c>
      <c r="AR12" s="130">
        <f t="shared" si="53"/>
        <v>0</v>
      </c>
      <c r="AS12" s="4">
        <f t="shared" si="4"/>
        <v>0</v>
      </c>
      <c r="AT12" s="130">
        <f t="shared" si="53"/>
        <v>0</v>
      </c>
      <c r="AU12" s="4">
        <f>SUM(Z12:AT12)-AE12-AH12-AS12</f>
        <v>0</v>
      </c>
      <c r="AV12" s="130">
        <f t="shared" si="53"/>
        <v>0</v>
      </c>
      <c r="AW12" s="130">
        <f t="shared" si="53"/>
        <v>0</v>
      </c>
      <c r="AX12" s="4">
        <f t="shared" si="6"/>
        <v>0</v>
      </c>
      <c r="AY12" s="130">
        <f t="shared" si="53"/>
        <v>0</v>
      </c>
      <c r="AZ12" s="130">
        <f t="shared" si="53"/>
        <v>0</v>
      </c>
      <c r="BA12" s="130">
        <f t="shared" si="53"/>
        <v>0</v>
      </c>
      <c r="BB12" s="130">
        <f t="shared" si="53"/>
        <v>0</v>
      </c>
      <c r="BC12" s="130">
        <f t="shared" si="53"/>
        <v>0</v>
      </c>
      <c r="BD12" s="130">
        <f t="shared" si="53"/>
        <v>0</v>
      </c>
      <c r="BE12" s="130">
        <f t="shared" si="53"/>
        <v>0</v>
      </c>
      <c r="BF12" s="41">
        <f t="shared" si="7"/>
        <v>0</v>
      </c>
      <c r="BG12" s="130">
        <f t="shared" si="53"/>
        <v>0</v>
      </c>
      <c r="BH12" s="130">
        <f t="shared" si="53"/>
        <v>0</v>
      </c>
      <c r="BI12" s="130">
        <f t="shared" si="53"/>
        <v>0</v>
      </c>
      <c r="BJ12" s="130">
        <f t="shared" si="53"/>
        <v>0</v>
      </c>
      <c r="BK12" s="130">
        <f t="shared" si="53"/>
        <v>0</v>
      </c>
      <c r="BL12" s="130">
        <f t="shared" si="53"/>
        <v>0</v>
      </c>
      <c r="BM12" s="130">
        <f t="shared" si="53"/>
        <v>0</v>
      </c>
      <c r="BN12" s="130">
        <f t="shared" si="53"/>
        <v>0</v>
      </c>
      <c r="BO12" s="41">
        <f t="shared" si="8"/>
        <v>0</v>
      </c>
      <c r="BP12" s="130">
        <f t="shared" si="53"/>
        <v>0</v>
      </c>
      <c r="BQ12" s="130">
        <f t="shared" si="53"/>
        <v>0</v>
      </c>
      <c r="BR12" s="130">
        <f t="shared" si="53"/>
        <v>0</v>
      </c>
      <c r="BS12" s="41">
        <f t="shared" si="9"/>
        <v>0</v>
      </c>
      <c r="BT12" s="130">
        <f t="shared" si="53"/>
        <v>0</v>
      </c>
      <c r="BU12" s="130">
        <f t="shared" si="53"/>
        <v>0</v>
      </c>
      <c r="BV12" s="130">
        <f aca="true" t="shared" si="54" ref="BV12:CA12">(BV43/($B$12+$B$14+$B$23)*$B$12)</f>
        <v>0</v>
      </c>
      <c r="BW12" s="130">
        <f t="shared" si="54"/>
        <v>0</v>
      </c>
      <c r="BX12" s="4">
        <f t="shared" si="10"/>
        <v>0</v>
      </c>
      <c r="BY12" s="130">
        <f t="shared" si="54"/>
        <v>0</v>
      </c>
      <c r="BZ12" s="130">
        <f t="shared" si="54"/>
        <v>0</v>
      </c>
      <c r="CA12" s="130">
        <f t="shared" si="54"/>
        <v>0</v>
      </c>
      <c r="CB12" s="4">
        <f t="shared" si="11"/>
        <v>0</v>
      </c>
      <c r="CC12" s="4">
        <f t="shared" si="12"/>
        <v>0</v>
      </c>
      <c r="CD12" s="70">
        <f t="shared" si="13"/>
        <v>0</v>
      </c>
      <c r="CE12" s="72">
        <f t="shared" si="14"/>
        <v>0</v>
      </c>
      <c r="CF12" s="72">
        <f t="shared" si="15"/>
        <v>0</v>
      </c>
      <c r="CG12" s="72">
        <f t="shared" si="35"/>
        <v>0</v>
      </c>
      <c r="CH12" s="72">
        <f>I12-AG12+AY12+AH12+BQ12</f>
        <v>0</v>
      </c>
      <c r="CI12" s="35">
        <f t="shared" si="17"/>
        <v>0</v>
      </c>
      <c r="CJ12" s="57" t="str">
        <f t="shared" si="36"/>
        <v>-</v>
      </c>
      <c r="CK12" s="57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72">
        <f t="shared" si="45"/>
        <v>0</v>
      </c>
      <c r="CT12" s="76">
        <f t="shared" si="18"/>
        <v>0</v>
      </c>
      <c r="CU12" s="76">
        <f t="shared" si="19"/>
        <v>0</v>
      </c>
      <c r="CV12" s="76">
        <f t="shared" si="20"/>
        <v>0</v>
      </c>
      <c r="CW12" s="76">
        <f t="shared" si="21"/>
        <v>0</v>
      </c>
      <c r="CX12" s="76">
        <f t="shared" si="22"/>
        <v>0</v>
      </c>
      <c r="CY12" s="76">
        <f t="shared" si="23"/>
        <v>0</v>
      </c>
      <c r="CZ12" s="76">
        <f t="shared" si="24"/>
        <v>0</v>
      </c>
      <c r="DA12" s="76">
        <f t="shared" si="25"/>
        <v>0</v>
      </c>
      <c r="DB12" s="76">
        <f t="shared" si="26"/>
        <v>0</v>
      </c>
      <c r="DC12" s="76">
        <f t="shared" si="27"/>
        <v>0</v>
      </c>
      <c r="DD12" s="76">
        <f t="shared" si="28"/>
        <v>0</v>
      </c>
      <c r="DE12" s="76">
        <f t="shared" si="29"/>
        <v>0</v>
      </c>
      <c r="DF12" s="76">
        <f t="shared" si="30"/>
        <v>0</v>
      </c>
      <c r="DG12" s="76">
        <f t="shared" si="31"/>
        <v>0</v>
      </c>
      <c r="DH12" s="76">
        <f t="shared" si="32"/>
        <v>0</v>
      </c>
      <c r="DI12" s="77">
        <f t="shared" si="33"/>
        <v>0</v>
      </c>
      <c r="DJ12" s="72">
        <f t="shared" si="34"/>
        <v>0</v>
      </c>
      <c r="DK12" s="151">
        <f t="shared" si="46"/>
        <v>0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39">
        <v>339</v>
      </c>
      <c r="C13" s="4">
        <v>719249</v>
      </c>
      <c r="D13" s="66">
        <v>2121.68</v>
      </c>
      <c r="E13" s="66">
        <v>63.97</v>
      </c>
      <c r="F13" s="8">
        <v>10</v>
      </c>
      <c r="G13" s="129">
        <f>(G44/($B$13+$B$16)*$B$13)</f>
        <v>241013.63847850054</v>
      </c>
      <c r="H13" s="129">
        <f aca="true" t="shared" si="55" ref="H13:BU13">(H44/($B$13+$B$16)*$B$13)</f>
        <v>43945.508136714445</v>
      </c>
      <c r="I13" s="129">
        <f t="shared" si="55"/>
        <v>8100.268577728776</v>
      </c>
      <c r="J13" s="129">
        <f t="shared" si="55"/>
        <v>0</v>
      </c>
      <c r="K13" s="129">
        <f t="shared" si="55"/>
        <v>220430.35832414555</v>
      </c>
      <c r="L13" s="129">
        <f t="shared" si="55"/>
        <v>0</v>
      </c>
      <c r="M13" s="41">
        <f t="shared" si="0"/>
        <v>220430.35832414555</v>
      </c>
      <c r="N13" s="129">
        <f t="shared" si="55"/>
        <v>0</v>
      </c>
      <c r="O13" s="129">
        <f t="shared" si="55"/>
        <v>123786.01819184123</v>
      </c>
      <c r="P13" s="129">
        <f t="shared" si="55"/>
        <v>9658.080099228224</v>
      </c>
      <c r="Q13" s="129">
        <f t="shared" si="55"/>
        <v>0</v>
      </c>
      <c r="R13" s="129">
        <f t="shared" si="55"/>
        <v>0</v>
      </c>
      <c r="S13" s="129">
        <f t="shared" si="55"/>
        <v>0</v>
      </c>
      <c r="T13" s="129">
        <f t="shared" si="55"/>
        <v>0</v>
      </c>
      <c r="U13" s="129">
        <f t="shared" si="55"/>
        <v>0</v>
      </c>
      <c r="V13" s="129">
        <f t="shared" si="55"/>
        <v>0</v>
      </c>
      <c r="W13" s="41">
        <f t="shared" si="1"/>
        <v>0</v>
      </c>
      <c r="X13" s="129">
        <f t="shared" si="55"/>
        <v>0</v>
      </c>
      <c r="Y13" s="41">
        <f t="shared" si="2"/>
        <v>646933.8718081587</v>
      </c>
      <c r="Z13" s="129">
        <f t="shared" si="55"/>
        <v>92404.6349503859</v>
      </c>
      <c r="AA13" s="129">
        <f t="shared" si="55"/>
        <v>0</v>
      </c>
      <c r="AB13" s="129">
        <f t="shared" si="55"/>
        <v>0</v>
      </c>
      <c r="AC13" s="129">
        <f t="shared" si="55"/>
        <v>15129.940022050718</v>
      </c>
      <c r="AD13" s="129">
        <f t="shared" si="55"/>
        <v>0</v>
      </c>
      <c r="AE13" s="41">
        <f t="shared" si="3"/>
        <v>107534.57497243662</v>
      </c>
      <c r="AF13" s="129">
        <f t="shared" si="55"/>
        <v>0</v>
      </c>
      <c r="AG13" s="129">
        <f t="shared" si="55"/>
        <v>190.523980154355</v>
      </c>
      <c r="AH13" s="129">
        <f t="shared" si="55"/>
        <v>0</v>
      </c>
      <c r="AI13" s="129">
        <f t="shared" si="55"/>
        <v>10236.435777287761</v>
      </c>
      <c r="AJ13" s="129">
        <f t="shared" si="55"/>
        <v>305495.40033076075</v>
      </c>
      <c r="AK13" s="129">
        <f t="shared" si="55"/>
        <v>403.66041896361634</v>
      </c>
      <c r="AL13" s="129">
        <f t="shared" si="55"/>
        <v>94152.61538037487</v>
      </c>
      <c r="AM13" s="129">
        <f t="shared" si="55"/>
        <v>0</v>
      </c>
      <c r="AN13" s="129">
        <f t="shared" si="55"/>
        <v>0</v>
      </c>
      <c r="AO13" s="129">
        <f t="shared" si="55"/>
        <v>0</v>
      </c>
      <c r="AP13" s="129">
        <f t="shared" si="55"/>
        <v>0</v>
      </c>
      <c r="AQ13" s="129">
        <f t="shared" si="55"/>
        <v>0</v>
      </c>
      <c r="AR13" s="129">
        <f t="shared" si="55"/>
        <v>0</v>
      </c>
      <c r="AS13" s="4">
        <f t="shared" si="4"/>
        <v>0</v>
      </c>
      <c r="AT13" s="129">
        <f t="shared" si="55"/>
        <v>0</v>
      </c>
      <c r="AU13" s="4">
        <f>SUM(Z13:AT13)-AE13-AH13-AS13</f>
        <v>518013.210859978</v>
      </c>
      <c r="AV13" s="129">
        <f t="shared" si="55"/>
        <v>0</v>
      </c>
      <c r="AW13" s="129">
        <f t="shared" si="55"/>
        <v>128920.66094818081</v>
      </c>
      <c r="AX13" s="4">
        <f t="shared" si="6"/>
        <v>0</v>
      </c>
      <c r="AY13" s="129">
        <f t="shared" si="55"/>
        <v>0</v>
      </c>
      <c r="AZ13" s="129">
        <f t="shared" si="55"/>
        <v>0</v>
      </c>
      <c r="BA13" s="129">
        <f t="shared" si="55"/>
        <v>0</v>
      </c>
      <c r="BB13" s="129">
        <f t="shared" si="55"/>
        <v>0</v>
      </c>
      <c r="BC13" s="129">
        <f t="shared" si="55"/>
        <v>0</v>
      </c>
      <c r="BD13" s="129">
        <f t="shared" si="55"/>
        <v>0</v>
      </c>
      <c r="BE13" s="129">
        <f t="shared" si="55"/>
        <v>0</v>
      </c>
      <c r="BF13" s="41">
        <f t="shared" si="7"/>
        <v>0</v>
      </c>
      <c r="BG13" s="129">
        <f t="shared" si="55"/>
        <v>0</v>
      </c>
      <c r="BH13" s="129">
        <f t="shared" si="55"/>
        <v>0</v>
      </c>
      <c r="BI13" s="129">
        <f t="shared" si="55"/>
        <v>0</v>
      </c>
      <c r="BJ13" s="129">
        <f t="shared" si="55"/>
        <v>0</v>
      </c>
      <c r="BK13" s="129">
        <f t="shared" si="55"/>
        <v>0</v>
      </c>
      <c r="BL13" s="129">
        <f t="shared" si="55"/>
        <v>0</v>
      </c>
      <c r="BM13" s="129">
        <f t="shared" si="55"/>
        <v>0</v>
      </c>
      <c r="BN13" s="129">
        <f t="shared" si="55"/>
        <v>0</v>
      </c>
      <c r="BO13" s="41">
        <f t="shared" si="8"/>
        <v>0</v>
      </c>
      <c r="BP13" s="129">
        <f t="shared" si="55"/>
        <v>0</v>
      </c>
      <c r="BQ13" s="129">
        <f t="shared" si="55"/>
        <v>0</v>
      </c>
      <c r="BR13" s="129">
        <f t="shared" si="55"/>
        <v>0</v>
      </c>
      <c r="BS13" s="41">
        <f t="shared" si="9"/>
        <v>0</v>
      </c>
      <c r="BT13" s="129">
        <f t="shared" si="55"/>
        <v>102175.6390518192</v>
      </c>
      <c r="BU13" s="129">
        <f t="shared" si="55"/>
        <v>772176.4799338478</v>
      </c>
      <c r="BV13" s="129">
        <f aca="true" t="shared" si="56" ref="BV13:CA13">(BV44/($B$13+$B$16)*$B$13)</f>
        <v>0</v>
      </c>
      <c r="BW13" s="129">
        <f t="shared" si="56"/>
        <v>128920.66094818081</v>
      </c>
      <c r="BX13" s="4">
        <f t="shared" si="10"/>
        <v>1003272.7799338478</v>
      </c>
      <c r="BY13" s="129">
        <f t="shared" si="56"/>
        <v>929678.0103638369</v>
      </c>
      <c r="BZ13" s="129">
        <f t="shared" si="56"/>
        <v>0</v>
      </c>
      <c r="CA13" s="129">
        <f t="shared" si="56"/>
        <v>73594.76957001102</v>
      </c>
      <c r="CB13" s="4">
        <f t="shared" si="11"/>
        <v>1003272.779933848</v>
      </c>
      <c r="CC13" s="4">
        <f t="shared" si="12"/>
        <v>0</v>
      </c>
      <c r="CD13" s="70">
        <f t="shared" si="13"/>
        <v>91509.69737596474</v>
      </c>
      <c r="CE13" s="72">
        <f t="shared" si="14"/>
        <v>91509.69737596474</v>
      </c>
      <c r="CF13" s="72">
        <f t="shared" si="15"/>
        <v>0</v>
      </c>
      <c r="CG13" s="72">
        <f t="shared" si="35"/>
        <v>518013.210859978</v>
      </c>
      <c r="CH13" s="72">
        <f>I13-AG13+AY13+AH13+BQ13</f>
        <v>7909.744597574421</v>
      </c>
      <c r="CI13" s="35">
        <f t="shared" si="17"/>
        <v>228340.10292171998</v>
      </c>
      <c r="CJ13" s="57" t="str">
        <f t="shared" si="36"/>
        <v>-</v>
      </c>
      <c r="CK13" s="57" t="str">
        <f t="shared" si="37"/>
        <v>-</v>
      </c>
      <c r="CL13" s="148">
        <f t="shared" si="38"/>
        <v>0.1766551421035097</v>
      </c>
      <c r="CM13" s="148">
        <f t="shared" si="39"/>
        <v>0.1766551421035097</v>
      </c>
      <c r="CN13" s="148">
        <f t="shared" si="40"/>
        <v>0.015269387791178306</v>
      </c>
      <c r="CO13" s="148">
        <f t="shared" si="41"/>
        <v>0.44079976752454225</v>
      </c>
      <c r="CP13" s="148">
        <f t="shared" si="42"/>
        <v>0.2220721738236226</v>
      </c>
      <c r="CQ13" s="148">
        <f t="shared" si="43"/>
        <v>0.2220721738236226</v>
      </c>
      <c r="CR13" s="149">
        <f t="shared" si="44"/>
        <v>-9.042783388434234</v>
      </c>
      <c r="CS13" s="72">
        <f t="shared" si="45"/>
        <v>-827502.3713120177</v>
      </c>
      <c r="CT13" s="76">
        <f t="shared" si="18"/>
        <v>426503.51348401315</v>
      </c>
      <c r="CU13" s="76">
        <f t="shared" si="19"/>
        <v>518013.210859978</v>
      </c>
      <c r="CV13" s="76">
        <f t="shared" si="20"/>
        <v>91509.69737596484</v>
      </c>
      <c r="CW13" s="76">
        <f t="shared" si="21"/>
        <v>0</v>
      </c>
      <c r="CX13" s="76">
        <f t="shared" si="22"/>
        <v>91509.69737596484</v>
      </c>
      <c r="CY13" s="76">
        <f t="shared" si="23"/>
        <v>-128920.66094818071</v>
      </c>
      <c r="CZ13" s="76">
        <f t="shared" si="24"/>
        <v>0</v>
      </c>
      <c r="DA13" s="76">
        <f t="shared" si="25"/>
        <v>220430.35832414555</v>
      </c>
      <c r="DB13" s="76">
        <f t="shared" si="26"/>
        <v>91509.69737596484</v>
      </c>
      <c r="DC13" s="76">
        <f t="shared" si="27"/>
        <v>-220430.35832414555</v>
      </c>
      <c r="DD13" s="76">
        <f t="shared" si="28"/>
        <v>-128920.66094818071</v>
      </c>
      <c r="DE13" s="76">
        <f t="shared" si="29"/>
        <v>92404.6349503859</v>
      </c>
      <c r="DF13" s="76">
        <f t="shared" si="30"/>
        <v>-2441.0099448732085</v>
      </c>
      <c r="DG13" s="76">
        <f t="shared" si="31"/>
        <v>23.33257993384785</v>
      </c>
      <c r="DH13" s="76">
        <f t="shared" si="32"/>
        <v>272.5800441014333</v>
      </c>
      <c r="DI13" s="77">
        <f t="shared" si="33"/>
        <v>0</v>
      </c>
      <c r="DJ13" s="72">
        <f t="shared" si="34"/>
        <v>269.9401102535836</v>
      </c>
      <c r="DK13" s="151">
        <f t="shared" si="46"/>
        <v>-827502.3713120176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4">
        <v>184</v>
      </c>
      <c r="C14" s="36">
        <v>500939</v>
      </c>
      <c r="D14" s="64">
        <v>2722.5</v>
      </c>
      <c r="E14" s="64">
        <v>82.08</v>
      </c>
      <c r="F14" s="124">
        <v>10</v>
      </c>
      <c r="G14" s="130">
        <f>(G43/($B$12+$B$14+$B$23)*$B$14)</f>
        <v>0</v>
      </c>
      <c r="H14" s="130">
        <f aca="true" t="shared" si="57" ref="H14:BU14">(H43/($B$12+$B$14+$B$23)*$B$14)</f>
        <v>0</v>
      </c>
      <c r="I14" s="130">
        <f t="shared" si="57"/>
        <v>0</v>
      </c>
      <c r="J14" s="130">
        <f t="shared" si="57"/>
        <v>0</v>
      </c>
      <c r="K14" s="130">
        <f t="shared" si="57"/>
        <v>0</v>
      </c>
      <c r="L14" s="130">
        <f t="shared" si="57"/>
        <v>0</v>
      </c>
      <c r="M14" s="41">
        <f t="shared" si="0"/>
        <v>0</v>
      </c>
      <c r="N14" s="130">
        <f t="shared" si="57"/>
        <v>0</v>
      </c>
      <c r="O14" s="130">
        <f t="shared" si="57"/>
        <v>0</v>
      </c>
      <c r="P14" s="130">
        <f t="shared" si="57"/>
        <v>0</v>
      </c>
      <c r="Q14" s="130">
        <f t="shared" si="57"/>
        <v>0</v>
      </c>
      <c r="R14" s="130">
        <f t="shared" si="57"/>
        <v>0</v>
      </c>
      <c r="S14" s="130">
        <f t="shared" si="57"/>
        <v>0</v>
      </c>
      <c r="T14" s="130">
        <f t="shared" si="57"/>
        <v>0</v>
      </c>
      <c r="U14" s="130">
        <f t="shared" si="57"/>
        <v>0</v>
      </c>
      <c r="V14" s="130">
        <f t="shared" si="57"/>
        <v>0</v>
      </c>
      <c r="W14" s="41">
        <f t="shared" si="1"/>
        <v>0</v>
      </c>
      <c r="X14" s="130">
        <f t="shared" si="57"/>
        <v>0</v>
      </c>
      <c r="Y14" s="41">
        <f t="shared" si="2"/>
        <v>0</v>
      </c>
      <c r="Z14" s="130">
        <f t="shared" si="57"/>
        <v>0</v>
      </c>
      <c r="AA14" s="130">
        <f t="shared" si="57"/>
        <v>0</v>
      </c>
      <c r="AB14" s="130">
        <f t="shared" si="57"/>
        <v>0</v>
      </c>
      <c r="AC14" s="130">
        <f t="shared" si="57"/>
        <v>0</v>
      </c>
      <c r="AD14" s="130">
        <f t="shared" si="57"/>
        <v>0</v>
      </c>
      <c r="AE14" s="41">
        <f t="shared" si="3"/>
        <v>0</v>
      </c>
      <c r="AF14" s="130">
        <f t="shared" si="57"/>
        <v>0</v>
      </c>
      <c r="AG14" s="130">
        <f t="shared" si="57"/>
        <v>0</v>
      </c>
      <c r="AH14" s="130">
        <f t="shared" si="57"/>
        <v>0</v>
      </c>
      <c r="AI14" s="130">
        <f t="shared" si="57"/>
        <v>0</v>
      </c>
      <c r="AJ14" s="130">
        <f t="shared" si="57"/>
        <v>0</v>
      </c>
      <c r="AK14" s="130">
        <f t="shared" si="57"/>
        <v>0</v>
      </c>
      <c r="AL14" s="130">
        <f t="shared" si="57"/>
        <v>0</v>
      </c>
      <c r="AM14" s="130">
        <f t="shared" si="57"/>
        <v>0</v>
      </c>
      <c r="AN14" s="130">
        <f t="shared" si="57"/>
        <v>0</v>
      </c>
      <c r="AO14" s="130">
        <f t="shared" si="57"/>
        <v>0</v>
      </c>
      <c r="AP14" s="130">
        <f t="shared" si="57"/>
        <v>0</v>
      </c>
      <c r="AQ14" s="130">
        <f t="shared" si="57"/>
        <v>0</v>
      </c>
      <c r="AR14" s="130">
        <f t="shared" si="57"/>
        <v>0</v>
      </c>
      <c r="AS14" s="4">
        <f t="shared" si="4"/>
        <v>0</v>
      </c>
      <c r="AT14" s="130">
        <f t="shared" si="57"/>
        <v>0</v>
      </c>
      <c r="AU14" s="4">
        <f t="shared" si="5"/>
        <v>0</v>
      </c>
      <c r="AV14" s="130">
        <f t="shared" si="57"/>
        <v>0</v>
      </c>
      <c r="AW14" s="130">
        <f t="shared" si="57"/>
        <v>0</v>
      </c>
      <c r="AX14" s="4">
        <f t="shared" si="6"/>
        <v>0</v>
      </c>
      <c r="AY14" s="130">
        <f t="shared" si="57"/>
        <v>0</v>
      </c>
      <c r="AZ14" s="130">
        <f t="shared" si="57"/>
        <v>0</v>
      </c>
      <c r="BA14" s="130">
        <f t="shared" si="57"/>
        <v>0</v>
      </c>
      <c r="BB14" s="130">
        <f t="shared" si="57"/>
        <v>0</v>
      </c>
      <c r="BC14" s="130">
        <f t="shared" si="57"/>
        <v>0</v>
      </c>
      <c r="BD14" s="130">
        <f t="shared" si="57"/>
        <v>0</v>
      </c>
      <c r="BE14" s="130">
        <f t="shared" si="57"/>
        <v>0</v>
      </c>
      <c r="BF14" s="41">
        <f t="shared" si="7"/>
        <v>0</v>
      </c>
      <c r="BG14" s="130">
        <f t="shared" si="57"/>
        <v>0</v>
      </c>
      <c r="BH14" s="130">
        <f t="shared" si="57"/>
        <v>0</v>
      </c>
      <c r="BI14" s="130">
        <f t="shared" si="57"/>
        <v>0</v>
      </c>
      <c r="BJ14" s="130">
        <f t="shared" si="57"/>
        <v>0</v>
      </c>
      <c r="BK14" s="130">
        <f t="shared" si="57"/>
        <v>0</v>
      </c>
      <c r="BL14" s="130">
        <f t="shared" si="57"/>
        <v>0</v>
      </c>
      <c r="BM14" s="130">
        <f t="shared" si="57"/>
        <v>0</v>
      </c>
      <c r="BN14" s="130">
        <f t="shared" si="57"/>
        <v>0</v>
      </c>
      <c r="BO14" s="41">
        <f t="shared" si="8"/>
        <v>0</v>
      </c>
      <c r="BP14" s="130">
        <f t="shared" si="57"/>
        <v>0</v>
      </c>
      <c r="BQ14" s="130">
        <f t="shared" si="57"/>
        <v>0</v>
      </c>
      <c r="BR14" s="130">
        <f t="shared" si="57"/>
        <v>0</v>
      </c>
      <c r="BS14" s="41">
        <f t="shared" si="9"/>
        <v>0</v>
      </c>
      <c r="BT14" s="130">
        <f t="shared" si="57"/>
        <v>0</v>
      </c>
      <c r="BU14" s="130">
        <f t="shared" si="57"/>
        <v>0</v>
      </c>
      <c r="BV14" s="130">
        <f aca="true" t="shared" si="58" ref="BV14:CA14">(BV43/($B$12+$B$14+$B$23)*$B$14)</f>
        <v>0</v>
      </c>
      <c r="BW14" s="130">
        <f t="shared" si="58"/>
        <v>0</v>
      </c>
      <c r="BX14" s="4">
        <f t="shared" si="10"/>
        <v>0</v>
      </c>
      <c r="BY14" s="130">
        <f t="shared" si="58"/>
        <v>0</v>
      </c>
      <c r="BZ14" s="130">
        <f t="shared" si="58"/>
        <v>0</v>
      </c>
      <c r="CA14" s="130">
        <f t="shared" si="58"/>
        <v>0</v>
      </c>
      <c r="CB14" s="4">
        <f t="shared" si="11"/>
        <v>0</v>
      </c>
      <c r="CC14" s="4">
        <f t="shared" si="12"/>
        <v>0</v>
      </c>
      <c r="CD14" s="70">
        <f t="shared" si="13"/>
        <v>0</v>
      </c>
      <c r="CE14" s="72">
        <f t="shared" si="14"/>
        <v>0</v>
      </c>
      <c r="CF14" s="72">
        <f t="shared" si="15"/>
        <v>0</v>
      </c>
      <c r="CG14" s="72">
        <f t="shared" si="35"/>
        <v>0</v>
      </c>
      <c r="CH14" s="72">
        <f t="shared" si="16"/>
        <v>0</v>
      </c>
      <c r="CI14" s="35">
        <f t="shared" si="17"/>
        <v>0</v>
      </c>
      <c r="CJ14" s="57" t="str">
        <f t="shared" si="36"/>
        <v>-</v>
      </c>
      <c r="CK14" s="57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72">
        <f t="shared" si="45"/>
        <v>0</v>
      </c>
      <c r="CT14" s="76">
        <f t="shared" si="18"/>
        <v>0</v>
      </c>
      <c r="CU14" s="76">
        <f t="shared" si="19"/>
        <v>0</v>
      </c>
      <c r="CV14" s="76">
        <f t="shared" si="20"/>
        <v>0</v>
      </c>
      <c r="CW14" s="76">
        <f t="shared" si="21"/>
        <v>0</v>
      </c>
      <c r="CX14" s="76">
        <f t="shared" si="22"/>
        <v>0</v>
      </c>
      <c r="CY14" s="76">
        <f t="shared" si="23"/>
        <v>0</v>
      </c>
      <c r="CZ14" s="76">
        <f t="shared" si="24"/>
        <v>0</v>
      </c>
      <c r="DA14" s="76">
        <f t="shared" si="25"/>
        <v>0</v>
      </c>
      <c r="DB14" s="76">
        <f t="shared" si="26"/>
        <v>0</v>
      </c>
      <c r="DC14" s="76">
        <f t="shared" si="27"/>
        <v>0</v>
      </c>
      <c r="DD14" s="76">
        <f t="shared" si="28"/>
        <v>0</v>
      </c>
      <c r="DE14" s="76">
        <f t="shared" si="29"/>
        <v>0</v>
      </c>
      <c r="DF14" s="76">
        <f t="shared" si="30"/>
        <v>0</v>
      </c>
      <c r="DG14" s="76">
        <f t="shared" si="31"/>
        <v>0</v>
      </c>
      <c r="DH14" s="76">
        <f t="shared" si="32"/>
        <v>0</v>
      </c>
      <c r="DI14" s="77">
        <f t="shared" si="33"/>
        <v>0</v>
      </c>
      <c r="DJ14" s="72">
        <f t="shared" si="34"/>
        <v>0</v>
      </c>
      <c r="DK14" s="151">
        <f t="shared" si="46"/>
        <v>0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39">
        <v>1201</v>
      </c>
      <c r="C15" s="4">
        <v>3218183</v>
      </c>
      <c r="D15" s="66">
        <v>2679.59</v>
      </c>
      <c r="E15" s="66">
        <v>80.79</v>
      </c>
      <c r="F15" s="8">
        <v>10</v>
      </c>
      <c r="G15" s="129">
        <v>1616071.7</v>
      </c>
      <c r="H15" s="41">
        <v>284335.95</v>
      </c>
      <c r="I15" s="41">
        <v>10967.85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263135.05</v>
      </c>
      <c r="P15" s="41">
        <v>0</v>
      </c>
      <c r="Q15" s="41">
        <v>0</v>
      </c>
      <c r="R15" s="41">
        <v>0</v>
      </c>
      <c r="S15" s="41">
        <v>0</v>
      </c>
      <c r="T15" s="41">
        <v>100000</v>
      </c>
      <c r="U15" s="41">
        <v>0</v>
      </c>
      <c r="V15" s="41">
        <v>0</v>
      </c>
      <c r="W15" s="41">
        <f>SUM(R15:V15)</f>
        <v>100000</v>
      </c>
      <c r="X15" s="41">
        <v>342832.75</v>
      </c>
      <c r="Y15" s="41">
        <f>SUM(G15:X15)-M15-W15</f>
        <v>2617343.3</v>
      </c>
      <c r="Z15" s="41">
        <v>342500.9</v>
      </c>
      <c r="AA15" s="41">
        <v>72690.65</v>
      </c>
      <c r="AB15" s="41">
        <v>0</v>
      </c>
      <c r="AC15" s="41">
        <v>16188.55</v>
      </c>
      <c r="AD15" s="41">
        <v>0</v>
      </c>
      <c r="AE15" s="41">
        <f>SUM(Z15:AD15)</f>
        <v>431380.10000000003</v>
      </c>
      <c r="AF15" s="41">
        <v>0</v>
      </c>
      <c r="AG15" s="41">
        <v>3891.2</v>
      </c>
      <c r="AH15" s="41">
        <v>0</v>
      </c>
      <c r="AI15" s="41">
        <v>60203.6</v>
      </c>
      <c r="AJ15" s="41">
        <v>606515.2</v>
      </c>
      <c r="AK15" s="41">
        <v>332879.15</v>
      </c>
      <c r="AL15" s="41">
        <v>713619.3</v>
      </c>
      <c r="AM15" s="41">
        <v>0</v>
      </c>
      <c r="AN15" s="4">
        <v>0</v>
      </c>
      <c r="AO15" s="4">
        <v>0</v>
      </c>
      <c r="AP15" s="4">
        <v>0</v>
      </c>
      <c r="AQ15" s="4">
        <v>3850</v>
      </c>
      <c r="AR15" s="4">
        <v>0</v>
      </c>
      <c r="AS15" s="4">
        <f>SUM(AN15:AR15)</f>
        <v>3850</v>
      </c>
      <c r="AT15" s="4">
        <v>342832.75</v>
      </c>
      <c r="AU15" s="4">
        <f>SUM(Z15:AT15)-AE15-AH15-AS15</f>
        <v>2495171.3000000003</v>
      </c>
      <c r="AV15" s="4">
        <v>0</v>
      </c>
      <c r="AW15" s="4">
        <v>122172</v>
      </c>
      <c r="AX15" s="4">
        <f>Y15-AU15+AV15-AW15</f>
        <v>-4.656612873077393E-10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596841.35</v>
      </c>
      <c r="BU15" s="4">
        <v>325001</v>
      </c>
      <c r="BV15" s="4">
        <v>0</v>
      </c>
      <c r="BW15" s="4">
        <v>9359.25</v>
      </c>
      <c r="BX15" s="4">
        <f>SUM(BT15:BW15)</f>
        <v>931201.6</v>
      </c>
      <c r="BY15" s="4">
        <v>731201.6</v>
      </c>
      <c r="BZ15" s="4">
        <v>200000</v>
      </c>
      <c r="CA15" s="4">
        <v>0</v>
      </c>
      <c r="CB15" s="4">
        <f>SUM(BY15:CA15)</f>
        <v>931201.6</v>
      </c>
      <c r="CC15" s="4">
        <f>BX15-CB15</f>
        <v>0</v>
      </c>
      <c r="CD15" s="70">
        <f>K15+L15+AV15-AW15</f>
        <v>-122172</v>
      </c>
      <c r="CE15" s="72">
        <f>CD15+W15-AS15</f>
        <v>-26022</v>
      </c>
      <c r="CF15" s="72">
        <f>BR15-BP15</f>
        <v>0</v>
      </c>
      <c r="CG15" s="72">
        <f t="shared" si="35"/>
        <v>2148488.5500000003</v>
      </c>
      <c r="CH15" s="72">
        <f>I15-AG15+AY15+AH15+BQ15</f>
        <v>7076.650000000001</v>
      </c>
      <c r="CI15" s="35">
        <f>CH15+K15</f>
        <v>7076.650000000001</v>
      </c>
      <c r="CJ15" s="57" t="str">
        <f t="shared" si="36"/>
        <v>-</v>
      </c>
      <c r="CK15" s="57" t="str">
        <f t="shared" si="37"/>
        <v>-</v>
      </c>
      <c r="CL15" s="148">
        <f t="shared" si="38"/>
        <v>-0.05686416155208274</v>
      </c>
      <c r="CM15" s="148">
        <f t="shared" si="39"/>
        <v>-0.012111770388536627</v>
      </c>
      <c r="CN15" s="148">
        <f t="shared" si="40"/>
        <v>0.003293780644071852</v>
      </c>
      <c r="CO15" s="148">
        <f t="shared" si="41"/>
        <v>0.003293780644071852</v>
      </c>
      <c r="CP15" s="148">
        <f t="shared" si="42"/>
        <v>0</v>
      </c>
      <c r="CQ15" s="148">
        <f t="shared" si="43"/>
        <v>0</v>
      </c>
      <c r="CR15" s="149">
        <f t="shared" si="44"/>
        <v>5.1633329490431175</v>
      </c>
      <c r="CS15" s="72">
        <f t="shared" si="45"/>
        <v>-134360.25</v>
      </c>
      <c r="CT15" s="76">
        <f>Y15-K15-L15-V15</f>
        <v>2617343.3</v>
      </c>
      <c r="CU15" s="76">
        <f>AU15-AR15</f>
        <v>2495171.3000000003</v>
      </c>
      <c r="CV15" s="76">
        <f>CU15-CT15</f>
        <v>-122171.99999999953</v>
      </c>
      <c r="CW15" s="76">
        <f>-V15+AR15</f>
        <v>0</v>
      </c>
      <c r="CX15" s="76">
        <f>CV15+CW15</f>
        <v>-122171.99999999953</v>
      </c>
      <c r="CY15" s="76">
        <f>CX15-K15-L15</f>
        <v>-122171.99999999953</v>
      </c>
      <c r="CZ15" s="76">
        <f>BR15-BP15</f>
        <v>0</v>
      </c>
      <c r="DA15" s="76">
        <f>K15+L15</f>
        <v>0</v>
      </c>
      <c r="DB15" s="76">
        <f>-CZ15+DA15+CY15</f>
        <v>-122171.99999999953</v>
      </c>
      <c r="DC15" s="76">
        <f>-BP15-DA15</f>
        <v>0</v>
      </c>
      <c r="DD15" s="76">
        <f>DB15+DC15+BR15</f>
        <v>-122171.99999999953</v>
      </c>
      <c r="DE15" s="76">
        <f>Z15+AA15+AB15</f>
        <v>415191.55000000005</v>
      </c>
      <c r="DF15" s="76">
        <f>CS15/B15</f>
        <v>-111.87364696086594</v>
      </c>
      <c r="DG15" s="76">
        <f>CH15/B15</f>
        <v>5.892298084929226</v>
      </c>
      <c r="DH15" s="76">
        <f>DE15/B15</f>
        <v>345.70487094088264</v>
      </c>
      <c r="DI15" s="77">
        <f>CZ15/B15</f>
        <v>0</v>
      </c>
      <c r="DJ15" s="72">
        <f>DB15/B15</f>
        <v>-101.72522897585307</v>
      </c>
      <c r="DK15" s="151">
        <f t="shared" si="46"/>
        <v>-334360.25</v>
      </c>
      <c r="DL15" s="72">
        <v>34</v>
      </c>
      <c r="DM15" s="72">
        <v>80</v>
      </c>
      <c r="DN15" s="63">
        <v>0</v>
      </c>
    </row>
    <row r="16" spans="1:118" ht="12.75">
      <c r="A16" s="49" t="s">
        <v>34</v>
      </c>
      <c r="B16" s="44">
        <v>568</v>
      </c>
      <c r="C16" s="36">
        <v>1177956</v>
      </c>
      <c r="D16" s="64">
        <v>2073.87</v>
      </c>
      <c r="E16" s="69">
        <v>62.52</v>
      </c>
      <c r="F16" s="124">
        <v>10</v>
      </c>
      <c r="G16" s="130">
        <f>(G44/($B$13+$B$16)*$B$16)</f>
        <v>403822.26152149943</v>
      </c>
      <c r="H16" s="130">
        <f aca="true" t="shared" si="59" ref="H16:BU16">(H44/($B$13+$B$16)*$B$16)</f>
        <v>73631.41186328555</v>
      </c>
      <c r="I16" s="130">
        <f t="shared" si="59"/>
        <v>13572.131422271224</v>
      </c>
      <c r="J16" s="130">
        <f t="shared" si="59"/>
        <v>0</v>
      </c>
      <c r="K16" s="130">
        <f t="shared" si="59"/>
        <v>369334.6416758545</v>
      </c>
      <c r="L16" s="130">
        <f t="shared" si="59"/>
        <v>0</v>
      </c>
      <c r="M16" s="41">
        <f t="shared" si="0"/>
        <v>369334.6416758545</v>
      </c>
      <c r="N16" s="130">
        <f t="shared" si="59"/>
        <v>0</v>
      </c>
      <c r="O16" s="130">
        <f t="shared" si="59"/>
        <v>207405.48180815874</v>
      </c>
      <c r="P16" s="130">
        <f t="shared" si="59"/>
        <v>16182.269900771775</v>
      </c>
      <c r="Q16" s="130">
        <f t="shared" si="59"/>
        <v>0</v>
      </c>
      <c r="R16" s="130">
        <f t="shared" si="59"/>
        <v>0</v>
      </c>
      <c r="S16" s="130">
        <f t="shared" si="59"/>
        <v>0</v>
      </c>
      <c r="T16" s="130">
        <f t="shared" si="59"/>
        <v>0</v>
      </c>
      <c r="U16" s="130">
        <f t="shared" si="59"/>
        <v>0</v>
      </c>
      <c r="V16" s="130">
        <f t="shared" si="59"/>
        <v>0</v>
      </c>
      <c r="W16" s="41">
        <f>SUM(R16:V16)</f>
        <v>0</v>
      </c>
      <c r="X16" s="130">
        <f t="shared" si="59"/>
        <v>0</v>
      </c>
      <c r="Y16" s="41">
        <f>SUM(G16:X16)-M16-W16</f>
        <v>1083948.1981918414</v>
      </c>
      <c r="Z16" s="130">
        <f t="shared" si="59"/>
        <v>154825.4650496141</v>
      </c>
      <c r="AA16" s="130">
        <f t="shared" si="59"/>
        <v>0</v>
      </c>
      <c r="AB16" s="130">
        <f t="shared" si="59"/>
        <v>0</v>
      </c>
      <c r="AC16" s="130">
        <f t="shared" si="59"/>
        <v>25350.459977949286</v>
      </c>
      <c r="AD16" s="130">
        <f t="shared" si="59"/>
        <v>0</v>
      </c>
      <c r="AE16" s="41">
        <f>SUM(Z16:AD16)</f>
        <v>180175.9250275634</v>
      </c>
      <c r="AF16" s="130">
        <f t="shared" si="59"/>
        <v>0</v>
      </c>
      <c r="AG16" s="130">
        <f t="shared" si="59"/>
        <v>319.22601984564494</v>
      </c>
      <c r="AH16" s="130">
        <f t="shared" si="59"/>
        <v>0</v>
      </c>
      <c r="AI16" s="130">
        <f t="shared" si="59"/>
        <v>17151.314222712237</v>
      </c>
      <c r="AJ16" s="130">
        <f t="shared" si="59"/>
        <v>511862.4996692393</v>
      </c>
      <c r="AK16" s="130">
        <f t="shared" si="59"/>
        <v>676.3395810363837</v>
      </c>
      <c r="AL16" s="130">
        <f t="shared" si="59"/>
        <v>157754.23461962515</v>
      </c>
      <c r="AM16" s="130">
        <f t="shared" si="59"/>
        <v>0</v>
      </c>
      <c r="AN16" s="130">
        <f t="shared" si="59"/>
        <v>0</v>
      </c>
      <c r="AO16" s="130">
        <f t="shared" si="59"/>
        <v>0</v>
      </c>
      <c r="AP16" s="130">
        <f t="shared" si="59"/>
        <v>0</v>
      </c>
      <c r="AQ16" s="130">
        <f t="shared" si="59"/>
        <v>0</v>
      </c>
      <c r="AR16" s="130">
        <f t="shared" si="59"/>
        <v>0</v>
      </c>
      <c r="AS16" s="4">
        <f>SUM(AN16:AR16)</f>
        <v>0</v>
      </c>
      <c r="AT16" s="130">
        <f t="shared" si="59"/>
        <v>0</v>
      </c>
      <c r="AU16" s="4">
        <f>SUM(Z16:AT16)-AE16-AH16-AS16</f>
        <v>867939.5391400221</v>
      </c>
      <c r="AV16" s="130">
        <f t="shared" si="59"/>
        <v>0</v>
      </c>
      <c r="AW16" s="130">
        <f t="shared" si="59"/>
        <v>216008.65905181918</v>
      </c>
      <c r="AX16" s="4">
        <f>Y16-AU16+AV16-AW16</f>
        <v>0</v>
      </c>
      <c r="AY16" s="130">
        <f t="shared" si="59"/>
        <v>0</v>
      </c>
      <c r="AZ16" s="130">
        <f t="shared" si="59"/>
        <v>0</v>
      </c>
      <c r="BA16" s="130">
        <f t="shared" si="59"/>
        <v>0</v>
      </c>
      <c r="BB16" s="130">
        <f t="shared" si="59"/>
        <v>0</v>
      </c>
      <c r="BC16" s="130">
        <f t="shared" si="59"/>
        <v>0</v>
      </c>
      <c r="BD16" s="130">
        <f t="shared" si="59"/>
        <v>0</v>
      </c>
      <c r="BE16" s="130">
        <f t="shared" si="59"/>
        <v>0</v>
      </c>
      <c r="BF16" s="41">
        <f>SUM(AZ16:BE16)</f>
        <v>0</v>
      </c>
      <c r="BG16" s="130">
        <f t="shared" si="59"/>
        <v>0</v>
      </c>
      <c r="BH16" s="130">
        <f t="shared" si="59"/>
        <v>0</v>
      </c>
      <c r="BI16" s="130">
        <f t="shared" si="59"/>
        <v>0</v>
      </c>
      <c r="BJ16" s="130">
        <f t="shared" si="59"/>
        <v>0</v>
      </c>
      <c r="BK16" s="130">
        <f t="shared" si="59"/>
        <v>0</v>
      </c>
      <c r="BL16" s="130">
        <f t="shared" si="59"/>
        <v>0</v>
      </c>
      <c r="BM16" s="130">
        <f t="shared" si="59"/>
        <v>0</v>
      </c>
      <c r="BN16" s="130">
        <f t="shared" si="59"/>
        <v>0</v>
      </c>
      <c r="BO16" s="41">
        <f>SUM(BG16:BN16)</f>
        <v>0</v>
      </c>
      <c r="BP16" s="130">
        <f t="shared" si="59"/>
        <v>0</v>
      </c>
      <c r="BQ16" s="130">
        <f t="shared" si="59"/>
        <v>0</v>
      </c>
      <c r="BR16" s="130">
        <f t="shared" si="59"/>
        <v>0</v>
      </c>
      <c r="BS16" s="41">
        <f>+BF16-BO16+BP16+BQ16-BR16</f>
        <v>0</v>
      </c>
      <c r="BT16" s="130">
        <f t="shared" si="59"/>
        <v>171196.94094818085</v>
      </c>
      <c r="BU16" s="130">
        <f t="shared" si="59"/>
        <v>1293794.220066152</v>
      </c>
      <c r="BV16" s="130">
        <f aca="true" t="shared" si="60" ref="BV16:CA16">(BV44/($B$13+$B$16)*$B$16)</f>
        <v>0</v>
      </c>
      <c r="BW16" s="130">
        <f t="shared" si="60"/>
        <v>216008.65905181918</v>
      </c>
      <c r="BX16" s="4">
        <f>SUM(BT16:BW16)</f>
        <v>1680999.8200661521</v>
      </c>
      <c r="BY16" s="130">
        <f t="shared" si="60"/>
        <v>1557690.5896361633</v>
      </c>
      <c r="BZ16" s="130">
        <f t="shared" si="60"/>
        <v>0</v>
      </c>
      <c r="CA16" s="130">
        <f t="shared" si="60"/>
        <v>123309.23042998897</v>
      </c>
      <c r="CB16" s="4">
        <f>SUM(BY16:CA16)</f>
        <v>1680999.8200661524</v>
      </c>
      <c r="CC16" s="4">
        <f>BX16-CB16</f>
        <v>0</v>
      </c>
      <c r="CD16" s="70">
        <f>K16+L16+AV16-AW16</f>
        <v>153325.98262403533</v>
      </c>
      <c r="CE16" s="72">
        <f>CD16+W16-AS16</f>
        <v>153325.98262403533</v>
      </c>
      <c r="CF16" s="72">
        <f>BR16-BP16</f>
        <v>0</v>
      </c>
      <c r="CG16" s="72">
        <f t="shared" si="35"/>
        <v>867939.5391400221</v>
      </c>
      <c r="CH16" s="72">
        <f>I16-AG16+AY16+AH16+BQ16</f>
        <v>13252.90540242558</v>
      </c>
      <c r="CI16" s="35">
        <f>CH16+K16</f>
        <v>382587.54707828007</v>
      </c>
      <c r="CJ16" s="57" t="str">
        <f t="shared" si="36"/>
        <v>-</v>
      </c>
      <c r="CK16" s="57" t="str">
        <f t="shared" si="37"/>
        <v>-</v>
      </c>
      <c r="CL16" s="148">
        <f t="shared" si="38"/>
        <v>0.1766551421035097</v>
      </c>
      <c r="CM16" s="148">
        <f t="shared" si="39"/>
        <v>0.1766551421035097</v>
      </c>
      <c r="CN16" s="148">
        <f t="shared" si="40"/>
        <v>0.015269387791178307</v>
      </c>
      <c r="CO16" s="148">
        <f t="shared" si="41"/>
        <v>0.4407997675245422</v>
      </c>
      <c r="CP16" s="148">
        <f t="shared" si="42"/>
        <v>0.2220721738236226</v>
      </c>
      <c r="CQ16" s="148">
        <f t="shared" si="43"/>
        <v>0.2220721738236226</v>
      </c>
      <c r="CR16" s="149">
        <f t="shared" si="44"/>
        <v>-9.042783388434232</v>
      </c>
      <c r="CS16" s="72">
        <f t="shared" si="45"/>
        <v>-1386493.6486879825</v>
      </c>
      <c r="CT16" s="76">
        <f>Y16-K16-L16-V16</f>
        <v>714613.5565159868</v>
      </c>
      <c r="CU16" s="76">
        <f>AU16-AR16</f>
        <v>867939.5391400221</v>
      </c>
      <c r="CV16" s="76">
        <f>CU16-CT16</f>
        <v>153325.98262403533</v>
      </c>
      <c r="CW16" s="76">
        <f>-V16+AR16</f>
        <v>0</v>
      </c>
      <c r="CX16" s="76">
        <f>CV16+CW16</f>
        <v>153325.98262403533</v>
      </c>
      <c r="CY16" s="76">
        <f>CX16-K16-L16</f>
        <v>-216008.65905181918</v>
      </c>
      <c r="CZ16" s="76">
        <f>BR16-BP16</f>
        <v>0</v>
      </c>
      <c r="DA16" s="76">
        <f>K16+L16</f>
        <v>369334.6416758545</v>
      </c>
      <c r="DB16" s="76">
        <f>-CZ16+DA16+CY16</f>
        <v>153325.98262403533</v>
      </c>
      <c r="DC16" s="76">
        <f>-BP16-DA16</f>
        <v>-369334.6416758545</v>
      </c>
      <c r="DD16" s="76">
        <f>DB16+DC16+BR16</f>
        <v>-216008.65905181918</v>
      </c>
      <c r="DE16" s="76">
        <f>Z16+AA16+AB16</f>
        <v>154825.4650496141</v>
      </c>
      <c r="DF16" s="76">
        <f>CS16/B16</f>
        <v>-2441.0099448732085</v>
      </c>
      <c r="DG16" s="76">
        <f>CH16/B16</f>
        <v>23.332579933847853</v>
      </c>
      <c r="DH16" s="76">
        <f>DE16/B16</f>
        <v>272.5800441014333</v>
      </c>
      <c r="DI16" s="77">
        <f>CZ16/B16</f>
        <v>0</v>
      </c>
      <c r="DJ16" s="72">
        <f>DB16/B16</f>
        <v>269.9401102535833</v>
      </c>
      <c r="DK16" s="151">
        <f t="shared" si="46"/>
        <v>-1386493.6486879822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39">
        <v>387</v>
      </c>
      <c r="C17" s="4">
        <v>975525</v>
      </c>
      <c r="D17" s="66">
        <v>2520.74</v>
      </c>
      <c r="E17" s="66">
        <v>76</v>
      </c>
      <c r="F17" s="8">
        <v>10</v>
      </c>
      <c r="G17" s="142">
        <f>(G49/($B$49)*$B$17)+(G50/($B$50)*$B$17)+(G47)</f>
        <v>498665.4051032526</v>
      </c>
      <c r="H17" s="142">
        <f aca="true" t="shared" si="61" ref="H17:BU17">(H49/($B$49)*$B$17)+(H50/($B$50)*$B$17)+(H47)</f>
        <v>152071.77832233976</v>
      </c>
      <c r="I17" s="142">
        <f t="shared" si="61"/>
        <v>12200.93537151521</v>
      </c>
      <c r="J17" s="142">
        <f t="shared" si="61"/>
        <v>0</v>
      </c>
      <c r="K17" s="142">
        <f t="shared" si="61"/>
        <v>38155</v>
      </c>
      <c r="L17" s="142">
        <f t="shared" si="61"/>
        <v>0</v>
      </c>
      <c r="M17" s="41">
        <f t="shared" si="0"/>
        <v>38155</v>
      </c>
      <c r="N17" s="142">
        <f t="shared" si="61"/>
        <v>0</v>
      </c>
      <c r="O17" s="142">
        <f t="shared" si="61"/>
        <v>209894.62638623329</v>
      </c>
      <c r="P17" s="142">
        <f t="shared" si="61"/>
        <v>7500</v>
      </c>
      <c r="Q17" s="142">
        <f t="shared" si="61"/>
        <v>0</v>
      </c>
      <c r="R17" s="142">
        <f t="shared" si="61"/>
        <v>0</v>
      </c>
      <c r="S17" s="142">
        <f t="shared" si="61"/>
        <v>0</v>
      </c>
      <c r="T17" s="142">
        <f t="shared" si="61"/>
        <v>0</v>
      </c>
      <c r="U17" s="142">
        <f t="shared" si="61"/>
        <v>0</v>
      </c>
      <c r="V17" s="142">
        <f t="shared" si="61"/>
        <v>21871.95</v>
      </c>
      <c r="W17" s="41">
        <f>SUM(R17:V17)</f>
        <v>21871.95</v>
      </c>
      <c r="X17" s="142">
        <f t="shared" si="61"/>
        <v>48693.321308695115</v>
      </c>
      <c r="Y17" s="41">
        <f>SUM(G17:X17)-M17-W17</f>
        <v>989053.0164920359</v>
      </c>
      <c r="Z17" s="142">
        <f t="shared" si="61"/>
        <v>168803.1</v>
      </c>
      <c r="AA17" s="142">
        <f t="shared" si="61"/>
        <v>0</v>
      </c>
      <c r="AB17" s="142">
        <f t="shared" si="61"/>
        <v>0</v>
      </c>
      <c r="AC17" s="142">
        <f t="shared" si="61"/>
        <v>378.05</v>
      </c>
      <c r="AD17" s="142">
        <f t="shared" si="61"/>
        <v>0</v>
      </c>
      <c r="AE17" s="41">
        <f>SUM(Z17:AD17)</f>
        <v>169181.15</v>
      </c>
      <c r="AF17" s="142">
        <f t="shared" si="61"/>
        <v>0</v>
      </c>
      <c r="AG17" s="142">
        <f t="shared" si="61"/>
        <v>1520.6</v>
      </c>
      <c r="AH17" s="142">
        <f t="shared" si="61"/>
        <v>0</v>
      </c>
      <c r="AI17" s="142">
        <f t="shared" si="61"/>
        <v>24774.550737823512</v>
      </c>
      <c r="AJ17" s="142">
        <f t="shared" si="61"/>
        <v>221051.34633937108</v>
      </c>
      <c r="AK17" s="142">
        <f t="shared" si="61"/>
        <v>156702.1868252356</v>
      </c>
      <c r="AL17" s="142">
        <f t="shared" si="61"/>
        <v>229579.1162894146</v>
      </c>
      <c r="AM17" s="142">
        <f t="shared" si="61"/>
        <v>0</v>
      </c>
      <c r="AN17" s="142">
        <f t="shared" si="61"/>
        <v>0</v>
      </c>
      <c r="AO17" s="142">
        <f t="shared" si="61"/>
        <v>0</v>
      </c>
      <c r="AP17" s="142">
        <f t="shared" si="61"/>
        <v>0</v>
      </c>
      <c r="AQ17" s="142">
        <f t="shared" si="61"/>
        <v>0</v>
      </c>
      <c r="AR17" s="142">
        <f t="shared" si="61"/>
        <v>0</v>
      </c>
      <c r="AS17" s="4">
        <f>SUM(AN17:AR17)</f>
        <v>0</v>
      </c>
      <c r="AT17" s="142">
        <f t="shared" si="61"/>
        <v>56247.54780114723</v>
      </c>
      <c r="AU17" s="4">
        <f>SUM(Z17:AT17)-AE17-AH17-AS17</f>
        <v>859056.4979929919</v>
      </c>
      <c r="AV17" s="142">
        <f t="shared" si="61"/>
        <v>0</v>
      </c>
      <c r="AW17" s="142">
        <f t="shared" si="61"/>
        <v>129996.5</v>
      </c>
      <c r="AX17" s="4">
        <f>Y17-AU17+AV17-AW17</f>
        <v>0.018499044002965093</v>
      </c>
      <c r="AY17" s="142">
        <f t="shared" si="61"/>
        <v>0</v>
      </c>
      <c r="AZ17" s="142">
        <f t="shared" si="61"/>
        <v>0</v>
      </c>
      <c r="BA17" s="142">
        <f t="shared" si="61"/>
        <v>0</v>
      </c>
      <c r="BB17" s="142">
        <f t="shared" si="61"/>
        <v>0</v>
      </c>
      <c r="BC17" s="142">
        <f t="shared" si="61"/>
        <v>0</v>
      </c>
      <c r="BD17" s="142">
        <f t="shared" si="61"/>
        <v>0</v>
      </c>
      <c r="BE17" s="142">
        <f t="shared" si="61"/>
        <v>0</v>
      </c>
      <c r="BF17" s="41">
        <f>SUM(AZ17:BE17)</f>
        <v>0</v>
      </c>
      <c r="BG17" s="142">
        <f t="shared" si="61"/>
        <v>0</v>
      </c>
      <c r="BH17" s="142">
        <f t="shared" si="61"/>
        <v>0</v>
      </c>
      <c r="BI17" s="142">
        <f t="shared" si="61"/>
        <v>0</v>
      </c>
      <c r="BJ17" s="142">
        <f t="shared" si="61"/>
        <v>0</v>
      </c>
      <c r="BK17" s="142">
        <f t="shared" si="61"/>
        <v>0</v>
      </c>
      <c r="BL17" s="142">
        <f t="shared" si="61"/>
        <v>0</v>
      </c>
      <c r="BM17" s="142">
        <f t="shared" si="61"/>
        <v>0</v>
      </c>
      <c r="BN17" s="142">
        <f t="shared" si="61"/>
        <v>0</v>
      </c>
      <c r="BO17" s="41">
        <f>SUM(BG17:BN17)</f>
        <v>0</v>
      </c>
      <c r="BP17" s="142">
        <f t="shared" si="61"/>
        <v>0</v>
      </c>
      <c r="BQ17" s="142">
        <f t="shared" si="61"/>
        <v>0</v>
      </c>
      <c r="BR17" s="142">
        <f t="shared" si="61"/>
        <v>0</v>
      </c>
      <c r="BS17" s="41">
        <f>+BF17-BO17+BP17+BQ17-BR17</f>
        <v>0</v>
      </c>
      <c r="BT17" s="142">
        <f t="shared" si="61"/>
        <v>47657</v>
      </c>
      <c r="BU17" s="142">
        <f t="shared" si="61"/>
        <v>618450</v>
      </c>
      <c r="BV17" s="142">
        <f aca="true" t="shared" si="62" ref="BV17:CA17">(BV49/($B$49)*$B$17)+(BV50/($B$50)*$B$17)+(BV47)</f>
        <v>0</v>
      </c>
      <c r="BW17" s="142">
        <f t="shared" si="62"/>
        <v>129996.5</v>
      </c>
      <c r="BX17" s="4">
        <f>SUM(BT17:BW17)</f>
        <v>796103.5</v>
      </c>
      <c r="BY17" s="142">
        <f t="shared" si="62"/>
        <v>738251.55</v>
      </c>
      <c r="BZ17" s="142">
        <f t="shared" si="62"/>
        <v>0</v>
      </c>
      <c r="CA17" s="142">
        <f t="shared" si="62"/>
        <v>57851.95</v>
      </c>
      <c r="CB17" s="4">
        <f>SUM(BY17:CA17)</f>
        <v>796103.5</v>
      </c>
      <c r="CC17" s="4">
        <f>BX17-CB17</f>
        <v>0</v>
      </c>
      <c r="CD17" s="70">
        <f>K17+L17+AV17-AW17</f>
        <v>-91841.5</v>
      </c>
      <c r="CE17" s="72">
        <f>CD17+W17-AS17</f>
        <v>-69969.55</v>
      </c>
      <c r="CF17" s="72">
        <f>BR17-BP17</f>
        <v>0</v>
      </c>
      <c r="CG17" s="72">
        <f t="shared" si="35"/>
        <v>802808.9501918447</v>
      </c>
      <c r="CH17" s="72">
        <f>I17-AG17+AY17+AH17+BQ17</f>
        <v>10680.33537151521</v>
      </c>
      <c r="CI17" s="35">
        <f>CH17+K17</f>
        <v>48835.33537151521</v>
      </c>
      <c r="CJ17" s="57" t="str">
        <f t="shared" si="36"/>
        <v>-</v>
      </c>
      <c r="CK17" s="57" t="str">
        <f t="shared" si="37"/>
        <v>-</v>
      </c>
      <c r="CL17" s="148">
        <f t="shared" si="38"/>
        <v>-0.11440019443985139</v>
      </c>
      <c r="CM17" s="148">
        <f t="shared" si="39"/>
        <v>-0.08715591671378302</v>
      </c>
      <c r="CN17" s="148">
        <f t="shared" si="40"/>
        <v>0.013303707400076897</v>
      </c>
      <c r="CO17" s="148">
        <f t="shared" si="41"/>
        <v>0.060830581621997594</v>
      </c>
      <c r="CP17" s="148">
        <f t="shared" si="42"/>
        <v>0.058109517898888984</v>
      </c>
      <c r="CQ17" s="148">
        <f t="shared" si="43"/>
        <v>0.058109517898888984</v>
      </c>
      <c r="CR17" s="149">
        <f t="shared" si="44"/>
        <v>9.869929848055333</v>
      </c>
      <c r="CS17" s="72">
        <f t="shared" si="45"/>
        <v>-690594.55</v>
      </c>
      <c r="CT17" s="76">
        <f>Y17-K17-L17-V17</f>
        <v>929026.066492036</v>
      </c>
      <c r="CU17" s="76">
        <f>AU17-AR17</f>
        <v>859056.4979929919</v>
      </c>
      <c r="CV17" s="76">
        <f>CU17-CT17</f>
        <v>-69969.56849904405</v>
      </c>
      <c r="CW17" s="76">
        <f>-V17+AR17</f>
        <v>-21871.95</v>
      </c>
      <c r="CX17" s="76">
        <f>CV17+CW17</f>
        <v>-91841.51849904405</v>
      </c>
      <c r="CY17" s="76">
        <f>CX17-K17-L17</f>
        <v>-129996.51849904405</v>
      </c>
      <c r="CZ17" s="76">
        <f>BR17-BP17</f>
        <v>0</v>
      </c>
      <c r="DA17" s="76">
        <f>K17+L17</f>
        <v>38155</v>
      </c>
      <c r="DB17" s="76">
        <f>-CZ17+DA17+CY17</f>
        <v>-91841.51849904405</v>
      </c>
      <c r="DC17" s="76">
        <f>-BP17-DA17</f>
        <v>-38155</v>
      </c>
      <c r="DD17" s="76">
        <f>DB17+DC17+BR17</f>
        <v>-129996.51849904405</v>
      </c>
      <c r="DE17" s="76">
        <f>Z17+AA17+AB17</f>
        <v>168803.1</v>
      </c>
      <c r="DF17" s="76">
        <f>CS17/B17</f>
        <v>-1784.4820413436694</v>
      </c>
      <c r="DG17" s="76">
        <f>CH17/B17</f>
        <v>27.59776581786876</v>
      </c>
      <c r="DH17" s="76">
        <f>DE17/B17</f>
        <v>436.1837209302326</v>
      </c>
      <c r="DI17" s="77">
        <f>CZ17/B17</f>
        <v>0</v>
      </c>
      <c r="DJ17" s="72">
        <f>DB17/B17</f>
        <v>-237.31658526884766</v>
      </c>
      <c r="DK17" s="151">
        <f t="shared" si="46"/>
        <v>-690594.55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4">
        <v>1047</v>
      </c>
      <c r="C18" s="36">
        <v>7016789</v>
      </c>
      <c r="D18" s="64">
        <v>6701.8</v>
      </c>
      <c r="E18" s="64">
        <v>202.05</v>
      </c>
      <c r="F18" s="124">
        <v>12</v>
      </c>
      <c r="G18" s="130">
        <v>995387.7</v>
      </c>
      <c r="H18" s="40">
        <f>559802.35-324923.05</f>
        <v>234879.3</v>
      </c>
      <c r="I18" s="40">
        <v>86133.2</v>
      </c>
      <c r="J18" s="40">
        <v>0</v>
      </c>
      <c r="K18" s="40">
        <v>130000</v>
      </c>
      <c r="L18" s="40">
        <v>88895.65</v>
      </c>
      <c r="M18" s="41">
        <f t="shared" si="0"/>
        <v>218895.65</v>
      </c>
      <c r="N18" s="40">
        <v>0</v>
      </c>
      <c r="O18" s="40">
        <v>307021.05</v>
      </c>
      <c r="P18" s="40">
        <v>5550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aca="true" t="shared" si="63" ref="W18:W31">SUM(R18:V18)</f>
        <v>0</v>
      </c>
      <c r="X18" s="40">
        <v>8879</v>
      </c>
      <c r="Y18" s="41">
        <f aca="true" t="shared" si="64" ref="Y18:Y31">SUM(G18:X18)-M18-W18</f>
        <v>1856745.9</v>
      </c>
      <c r="Z18" s="40">
        <v>985557.25</v>
      </c>
      <c r="AA18" s="40">
        <v>0</v>
      </c>
      <c r="AB18" s="40">
        <v>0</v>
      </c>
      <c r="AC18" s="40">
        <v>1162.6</v>
      </c>
      <c r="AD18" s="40">
        <v>0</v>
      </c>
      <c r="AE18" s="41">
        <f aca="true" t="shared" si="65" ref="AE18:AE31">SUM(Z18:AD18)</f>
        <v>986719.85</v>
      </c>
      <c r="AF18" s="40">
        <v>0</v>
      </c>
      <c r="AG18" s="40">
        <v>9651.8</v>
      </c>
      <c r="AH18" s="40">
        <v>0</v>
      </c>
      <c r="AI18" s="40">
        <v>15941.45</v>
      </c>
      <c r="AJ18" s="40">
        <v>439999.85</v>
      </c>
      <c r="AK18" s="40">
        <v>500</v>
      </c>
      <c r="AL18" s="40">
        <v>401902.9</v>
      </c>
      <c r="AM18" s="40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4">
        <f aca="true" t="shared" si="66" ref="AS18:AS31">SUM(AN18:AR18)</f>
        <v>0</v>
      </c>
      <c r="AT18" s="36">
        <v>8879</v>
      </c>
      <c r="AU18" s="4">
        <f aca="true" t="shared" si="67" ref="AU18:AU31">SUM(Z18:AT18)-AE18-AH18-AS18</f>
        <v>1863594.8499999996</v>
      </c>
      <c r="AV18" s="36">
        <v>6848.95</v>
      </c>
      <c r="AW18" s="36">
        <v>0</v>
      </c>
      <c r="AX18" s="4">
        <f aca="true" t="shared" si="68" ref="AX18:AX31">Y18-AU18+AV18-AW18</f>
        <v>2.7921487344428897E-10</v>
      </c>
      <c r="AY18" s="40">
        <v>0</v>
      </c>
      <c r="AZ18" s="40">
        <f>253922.85+71000</f>
        <v>324922.85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aca="true" t="shared" si="69" ref="BF18:BF31">SUM(AZ18:BE18)</f>
        <v>324922.85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71000</v>
      </c>
      <c r="BN18" s="40">
        <v>0</v>
      </c>
      <c r="BO18" s="41">
        <f aca="true" t="shared" si="70" ref="BO18:BO31">SUM(BG18:BN18)</f>
        <v>71000</v>
      </c>
      <c r="BP18" s="40">
        <v>71000</v>
      </c>
      <c r="BQ18" s="40">
        <v>0</v>
      </c>
      <c r="BR18" s="40">
        <v>324922.85</v>
      </c>
      <c r="BS18" s="41">
        <f aca="true" t="shared" si="71" ref="BS18:BS31">+BF18-BO18+BP18+BQ18-BR18</f>
        <v>0</v>
      </c>
      <c r="BT18" s="36">
        <v>1142202.1</v>
      </c>
      <c r="BU18" s="36">
        <v>1590000</v>
      </c>
      <c r="BV18" s="36">
        <v>0</v>
      </c>
      <c r="BW18" s="36">
        <v>0</v>
      </c>
      <c r="BX18" s="4">
        <f aca="true" t="shared" si="72" ref="BX18:BX31">SUM(BT18:BW18)</f>
        <v>2732202.1</v>
      </c>
      <c r="BY18" s="36">
        <v>2643999.6</v>
      </c>
      <c r="BZ18" s="36">
        <v>0</v>
      </c>
      <c r="CA18" s="36">
        <v>88202.5</v>
      </c>
      <c r="CB18" s="4">
        <f aca="true" t="shared" si="73" ref="CB18:CB31">SUM(BY18:CA18)</f>
        <v>2732202.1</v>
      </c>
      <c r="CC18" s="4">
        <f aca="true" t="shared" si="74" ref="CC18:CC31">BX18-CB18</f>
        <v>0</v>
      </c>
      <c r="CD18" s="70">
        <f aca="true" t="shared" si="75" ref="CD18:CD31">K18+L18+AV18-AW18</f>
        <v>225744.6</v>
      </c>
      <c r="CE18" s="72">
        <f aca="true" t="shared" si="76" ref="CE18:CE31">CD18+W18-AS18</f>
        <v>225744.6</v>
      </c>
      <c r="CF18" s="72">
        <f aca="true" t="shared" si="77" ref="CF18:CF31">BR18-BP18</f>
        <v>253922.84999999998</v>
      </c>
      <c r="CG18" s="72">
        <f t="shared" si="35"/>
        <v>1854715.8499999996</v>
      </c>
      <c r="CH18" s="72">
        <f aca="true" t="shared" si="78" ref="CH18:CH31">I18-AG18+AY18+AH18+BQ18</f>
        <v>76481.4</v>
      </c>
      <c r="CI18" s="35">
        <f aca="true" t="shared" si="79" ref="CI18:CI31">CH18+K18</f>
        <v>206481.4</v>
      </c>
      <c r="CJ18" s="57">
        <f t="shared" si="36"/>
        <v>0.8890283013127808</v>
      </c>
      <c r="CK18" s="57">
        <f t="shared" si="37"/>
        <v>0.8890283013127808</v>
      </c>
      <c r="CL18" s="148">
        <f t="shared" si="38"/>
        <v>0.12171384635549432</v>
      </c>
      <c r="CM18" s="148">
        <f t="shared" si="39"/>
        <v>0.12171384635549432</v>
      </c>
      <c r="CN18" s="148">
        <f t="shared" si="40"/>
        <v>0.04123618181189319</v>
      </c>
      <c r="CO18" s="148">
        <f t="shared" si="41"/>
        <v>0.11132778101831611</v>
      </c>
      <c r="CP18" s="148">
        <f t="shared" si="42"/>
        <v>0.12101065641901455</v>
      </c>
      <c r="CQ18" s="148">
        <f t="shared" si="43"/>
        <v>0.07186705324875982</v>
      </c>
      <c r="CR18" s="149">
        <f t="shared" si="44"/>
        <v>-6.652639753066075</v>
      </c>
      <c r="CS18" s="72">
        <f t="shared" si="45"/>
        <v>-1501797.5</v>
      </c>
      <c r="CT18" s="76">
        <f aca="true" t="shared" si="80" ref="CT18:CT31">Y18-K18-L18-V18</f>
        <v>1637850.25</v>
      </c>
      <c r="CU18" s="76">
        <f aca="true" t="shared" si="81" ref="CU18:CU31">AU18-AR18</f>
        <v>1863594.8499999996</v>
      </c>
      <c r="CV18" s="76">
        <f aca="true" t="shared" si="82" ref="CV18:CV31">CU18-CT18</f>
        <v>225744.59999999963</v>
      </c>
      <c r="CW18" s="76">
        <f aca="true" t="shared" si="83" ref="CW18:CW31">-V18+AR18</f>
        <v>0</v>
      </c>
      <c r="CX18" s="76">
        <f aca="true" t="shared" si="84" ref="CX18:CX31">CV18+CW18</f>
        <v>225744.59999999963</v>
      </c>
      <c r="CY18" s="76">
        <f aca="true" t="shared" si="85" ref="CY18:CY31">CX18-K18-L18</f>
        <v>6848.949999999633</v>
      </c>
      <c r="CZ18" s="76">
        <f aca="true" t="shared" si="86" ref="CZ18:CZ31">BR18-BP18</f>
        <v>253922.84999999998</v>
      </c>
      <c r="DA18" s="76">
        <f aca="true" t="shared" si="87" ref="DA18:DA31">K18+L18</f>
        <v>218895.65</v>
      </c>
      <c r="DB18" s="76">
        <f aca="true" t="shared" si="88" ref="DB18:DB31">-CZ18+DA18+CY18</f>
        <v>-28178.25000000035</v>
      </c>
      <c r="DC18" s="76">
        <f aca="true" t="shared" si="89" ref="DC18:DC31">-BP18-DA18</f>
        <v>-289895.65</v>
      </c>
      <c r="DD18" s="76">
        <f aca="true" t="shared" si="90" ref="DD18:DD31">DB18+DC18+BR18</f>
        <v>6848.949999999604</v>
      </c>
      <c r="DE18" s="76">
        <f aca="true" t="shared" si="91" ref="DE18:DE31">Z18+AA18+AB18</f>
        <v>985557.25</v>
      </c>
      <c r="DF18" s="76">
        <f aca="true" t="shared" si="92" ref="DF18:DF31">CS18/B18</f>
        <v>-1434.3815663801338</v>
      </c>
      <c r="DG18" s="76">
        <f aca="true" t="shared" si="93" ref="DG18:DG31">CH18/B18</f>
        <v>73.04813753581661</v>
      </c>
      <c r="DH18" s="76">
        <f aca="true" t="shared" si="94" ref="DH18:DH31">DE18/B18</f>
        <v>941.3154250238778</v>
      </c>
      <c r="DI18" s="77">
        <f aca="true" t="shared" si="95" ref="DI18:DI31">CZ18/B18</f>
        <v>242.52421203438394</v>
      </c>
      <c r="DJ18" s="72">
        <f aca="true" t="shared" si="96" ref="DJ18:DJ31">DB18/B18</f>
        <v>-26.91332378223529</v>
      </c>
      <c r="DK18" s="151">
        <f t="shared" si="46"/>
        <v>-1501797.5</v>
      </c>
      <c r="DL18" s="136">
        <v>21</v>
      </c>
      <c r="DM18" s="136">
        <v>85</v>
      </c>
      <c r="DN18" s="65">
        <v>0</v>
      </c>
    </row>
    <row r="19" spans="1:118" ht="12.75">
      <c r="A19" s="50" t="s">
        <v>35</v>
      </c>
      <c r="B19" s="39">
        <v>2931</v>
      </c>
      <c r="C19" s="4">
        <v>9368123</v>
      </c>
      <c r="D19" s="66">
        <v>3196.22</v>
      </c>
      <c r="E19" s="66">
        <v>96.36</v>
      </c>
      <c r="F19" s="8">
        <v>12</v>
      </c>
      <c r="G19" s="129">
        <v>1986804.95</v>
      </c>
      <c r="H19" s="41">
        <v>382853.65</v>
      </c>
      <c r="I19" s="41">
        <v>337424.45</v>
      </c>
      <c r="J19" s="41">
        <v>0</v>
      </c>
      <c r="K19" s="41">
        <v>35000</v>
      </c>
      <c r="L19" s="41">
        <v>0</v>
      </c>
      <c r="M19" s="41">
        <f t="shared" si="0"/>
        <v>35000</v>
      </c>
      <c r="N19" s="41">
        <v>0</v>
      </c>
      <c r="O19" s="41">
        <v>804172.65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63"/>
        <v>0</v>
      </c>
      <c r="X19" s="41">
        <v>347664.55</v>
      </c>
      <c r="Y19" s="41">
        <f t="shared" si="64"/>
        <v>3893920.25</v>
      </c>
      <c r="Z19" s="41">
        <v>1414887</v>
      </c>
      <c r="AA19" s="41">
        <v>78917.8</v>
      </c>
      <c r="AB19" s="41">
        <v>0</v>
      </c>
      <c r="AC19" s="41">
        <v>17492.75</v>
      </c>
      <c r="AD19" s="41">
        <v>0</v>
      </c>
      <c r="AE19" s="41">
        <f t="shared" si="65"/>
        <v>1511297.55</v>
      </c>
      <c r="AF19" s="41">
        <v>0</v>
      </c>
      <c r="AG19" s="41">
        <v>7836.55</v>
      </c>
      <c r="AH19" s="41">
        <v>0</v>
      </c>
      <c r="AI19" s="41">
        <v>43200.25</v>
      </c>
      <c r="AJ19" s="41">
        <v>1116840.65</v>
      </c>
      <c r="AK19" s="41">
        <v>0</v>
      </c>
      <c r="AL19" s="41">
        <v>847865.7</v>
      </c>
      <c r="AM19" s="41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6"/>
        <v>0</v>
      </c>
      <c r="AT19" s="4">
        <v>441416.35</v>
      </c>
      <c r="AU19" s="4">
        <f t="shared" si="67"/>
        <v>3968457.05</v>
      </c>
      <c r="AV19" s="4">
        <v>74536.8</v>
      </c>
      <c r="AW19" s="4">
        <v>0</v>
      </c>
      <c r="AX19" s="4">
        <f t="shared" si="68"/>
        <v>1.8917489796876907E-10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9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70"/>
        <v>0</v>
      </c>
      <c r="BP19" s="41">
        <v>0</v>
      </c>
      <c r="BQ19" s="41">
        <v>0</v>
      </c>
      <c r="BR19" s="41">
        <v>0</v>
      </c>
      <c r="BS19" s="41">
        <f t="shared" si="71"/>
        <v>0</v>
      </c>
      <c r="BT19" s="4">
        <v>1605994.9</v>
      </c>
      <c r="BU19" s="4">
        <v>5304801.3</v>
      </c>
      <c r="BV19" s="4">
        <v>0</v>
      </c>
      <c r="BW19" s="4">
        <v>880659.42</v>
      </c>
      <c r="BX19" s="4">
        <f t="shared" si="72"/>
        <v>7791455.619999999</v>
      </c>
      <c r="BY19" s="4">
        <v>7791455.62</v>
      </c>
      <c r="BZ19" s="4">
        <v>0</v>
      </c>
      <c r="CA19" s="4">
        <v>0</v>
      </c>
      <c r="CB19" s="4">
        <f t="shared" si="73"/>
        <v>7791455.62</v>
      </c>
      <c r="CC19" s="4">
        <f t="shared" si="74"/>
        <v>0</v>
      </c>
      <c r="CD19" s="70">
        <f t="shared" si="75"/>
        <v>109536.8</v>
      </c>
      <c r="CE19" s="72">
        <f t="shared" si="76"/>
        <v>109536.8</v>
      </c>
      <c r="CF19" s="72">
        <f t="shared" si="77"/>
        <v>0</v>
      </c>
      <c r="CG19" s="72">
        <f t="shared" si="35"/>
        <v>3527040.6999999997</v>
      </c>
      <c r="CH19" s="72">
        <f t="shared" si="78"/>
        <v>329587.9</v>
      </c>
      <c r="CI19" s="35">
        <f t="shared" si="79"/>
        <v>364587.9</v>
      </c>
      <c r="CJ19" s="57" t="str">
        <f t="shared" si="36"/>
        <v>-</v>
      </c>
      <c r="CK19" s="57" t="str">
        <f t="shared" si="37"/>
        <v>-</v>
      </c>
      <c r="CL19" s="148">
        <f t="shared" si="38"/>
        <v>0.03105629033427372</v>
      </c>
      <c r="CM19" s="148">
        <f t="shared" si="39"/>
        <v>0.03105629033427372</v>
      </c>
      <c r="CN19" s="148">
        <f t="shared" si="40"/>
        <v>0.0934460155223046</v>
      </c>
      <c r="CO19" s="148">
        <f t="shared" si="41"/>
        <v>0.10336934870073942</v>
      </c>
      <c r="CP19" s="148">
        <f t="shared" si="42"/>
        <v>0.006554551009229501</v>
      </c>
      <c r="CQ19" s="148">
        <f t="shared" si="43"/>
        <v>0.006554551009229501</v>
      </c>
      <c r="CR19" s="149">
        <f t="shared" si="44"/>
        <v>-56.46924796050278</v>
      </c>
      <c r="CS19" s="72">
        <f t="shared" si="45"/>
        <v>-6185460.720000001</v>
      </c>
      <c r="CT19" s="76">
        <f t="shared" si="80"/>
        <v>3858920.25</v>
      </c>
      <c r="CU19" s="76">
        <f t="shared" si="81"/>
        <v>3968457.05</v>
      </c>
      <c r="CV19" s="76">
        <f t="shared" si="82"/>
        <v>109536.79999999981</v>
      </c>
      <c r="CW19" s="76">
        <f t="shared" si="83"/>
        <v>0</v>
      </c>
      <c r="CX19" s="76">
        <f t="shared" si="84"/>
        <v>109536.79999999981</v>
      </c>
      <c r="CY19" s="76">
        <f t="shared" si="85"/>
        <v>74536.79999999981</v>
      </c>
      <c r="CZ19" s="76">
        <f t="shared" si="86"/>
        <v>0</v>
      </c>
      <c r="DA19" s="76">
        <f t="shared" si="87"/>
        <v>35000</v>
      </c>
      <c r="DB19" s="76">
        <f t="shared" si="88"/>
        <v>109536.79999999981</v>
      </c>
      <c r="DC19" s="76">
        <f t="shared" si="89"/>
        <v>-35000</v>
      </c>
      <c r="DD19" s="76">
        <f t="shared" si="90"/>
        <v>74536.79999999981</v>
      </c>
      <c r="DE19" s="76">
        <f t="shared" si="91"/>
        <v>1493804.8</v>
      </c>
      <c r="DF19" s="76">
        <f t="shared" si="92"/>
        <v>-2110.3584851586493</v>
      </c>
      <c r="DG19" s="76">
        <f t="shared" si="93"/>
        <v>112.44895939952235</v>
      </c>
      <c r="DH19" s="76">
        <f t="shared" si="94"/>
        <v>509.65704537700447</v>
      </c>
      <c r="DI19" s="77">
        <f t="shared" si="95"/>
        <v>0</v>
      </c>
      <c r="DJ19" s="72">
        <f t="shared" si="96"/>
        <v>37.3718184919822</v>
      </c>
      <c r="DK19" s="151">
        <f t="shared" si="46"/>
        <v>-6185460.72</v>
      </c>
      <c r="DL19" s="72">
        <v>73</v>
      </c>
      <c r="DM19" s="72">
        <v>274</v>
      </c>
      <c r="DN19" s="63">
        <v>0</v>
      </c>
    </row>
    <row r="20" spans="1:118" ht="12.75">
      <c r="A20" s="49" t="s">
        <v>12</v>
      </c>
      <c r="B20" s="44">
        <v>445</v>
      </c>
      <c r="C20" s="36">
        <v>1224285</v>
      </c>
      <c r="D20" s="64">
        <v>2751.2</v>
      </c>
      <c r="E20" s="64">
        <v>82.94</v>
      </c>
      <c r="F20" s="124">
        <v>10</v>
      </c>
      <c r="G20" s="130">
        <v>328713.8</v>
      </c>
      <c r="H20" s="40">
        <v>101224</v>
      </c>
      <c r="I20" s="40">
        <v>61298.6</v>
      </c>
      <c r="J20" s="40">
        <v>0</v>
      </c>
      <c r="K20" s="40">
        <v>66771.45</v>
      </c>
      <c r="L20" s="40">
        <v>0</v>
      </c>
      <c r="M20" s="41">
        <f t="shared" si="0"/>
        <v>66771.45</v>
      </c>
      <c r="N20" s="40">
        <v>0</v>
      </c>
      <c r="O20" s="40">
        <v>118501.35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63"/>
        <v>0</v>
      </c>
      <c r="X20" s="40">
        <v>0</v>
      </c>
      <c r="Y20" s="41">
        <f t="shared" si="64"/>
        <v>676509.2</v>
      </c>
      <c r="Z20" s="40">
        <v>164586.55</v>
      </c>
      <c r="AA20" s="40">
        <v>17370.95</v>
      </c>
      <c r="AB20" s="40">
        <v>0</v>
      </c>
      <c r="AC20" s="40">
        <v>2748.25</v>
      </c>
      <c r="AD20" s="40">
        <v>0</v>
      </c>
      <c r="AE20" s="41">
        <f t="shared" si="65"/>
        <v>184705.75</v>
      </c>
      <c r="AF20" s="40">
        <v>0</v>
      </c>
      <c r="AG20" s="40">
        <v>3651.8</v>
      </c>
      <c r="AH20" s="40">
        <v>0</v>
      </c>
      <c r="AI20" s="40">
        <v>1132.9</v>
      </c>
      <c r="AJ20" s="40">
        <v>331416.8</v>
      </c>
      <c r="AK20" s="40">
        <v>0</v>
      </c>
      <c r="AL20" s="40">
        <v>153435.75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6"/>
        <v>0</v>
      </c>
      <c r="AT20" s="36">
        <v>0</v>
      </c>
      <c r="AU20" s="4">
        <f t="shared" si="67"/>
        <v>674343</v>
      </c>
      <c r="AV20" s="36">
        <v>0</v>
      </c>
      <c r="AW20" s="36">
        <v>2166.2</v>
      </c>
      <c r="AX20" s="4">
        <f t="shared" si="68"/>
        <v>-4.638422979041934E-11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9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70"/>
        <v>0</v>
      </c>
      <c r="BP20" s="40">
        <v>0</v>
      </c>
      <c r="BQ20" s="40">
        <v>0</v>
      </c>
      <c r="BR20" s="40">
        <v>0</v>
      </c>
      <c r="BS20" s="41">
        <f t="shared" si="71"/>
        <v>0</v>
      </c>
      <c r="BT20" s="36">
        <v>607245.3</v>
      </c>
      <c r="BU20" s="36">
        <v>1076232.6</v>
      </c>
      <c r="BV20" s="36">
        <v>0</v>
      </c>
      <c r="BW20" s="36">
        <v>254795.2</v>
      </c>
      <c r="BX20" s="4">
        <f t="shared" si="72"/>
        <v>1938273.1</v>
      </c>
      <c r="BY20" s="36">
        <v>1938273.1</v>
      </c>
      <c r="BZ20" s="36">
        <v>0</v>
      </c>
      <c r="CA20" s="36">
        <v>0</v>
      </c>
      <c r="CB20" s="4">
        <f t="shared" si="73"/>
        <v>1938273.1</v>
      </c>
      <c r="CC20" s="4">
        <f t="shared" si="74"/>
        <v>0</v>
      </c>
      <c r="CD20" s="70">
        <f t="shared" si="75"/>
        <v>64605.25</v>
      </c>
      <c r="CE20" s="72">
        <f t="shared" si="76"/>
        <v>64605.25</v>
      </c>
      <c r="CF20" s="72">
        <f t="shared" si="77"/>
        <v>0</v>
      </c>
      <c r="CG20" s="72">
        <f t="shared" si="35"/>
        <v>674343</v>
      </c>
      <c r="CH20" s="72">
        <f t="shared" si="78"/>
        <v>57646.799999999996</v>
      </c>
      <c r="CI20" s="35">
        <f t="shared" si="79"/>
        <v>124418.25</v>
      </c>
      <c r="CJ20" s="57" t="str">
        <f t="shared" si="36"/>
        <v>-</v>
      </c>
      <c r="CK20" s="57" t="str">
        <f t="shared" si="37"/>
        <v>-</v>
      </c>
      <c r="CL20" s="148">
        <f t="shared" si="38"/>
        <v>0.09580473142006368</v>
      </c>
      <c r="CM20" s="148">
        <f t="shared" si="39"/>
        <v>0.09580473142006368</v>
      </c>
      <c r="CN20" s="148">
        <f t="shared" si="40"/>
        <v>0.0854858729163052</v>
      </c>
      <c r="CO20" s="148">
        <f t="shared" si="41"/>
        <v>0.1845029161717405</v>
      </c>
      <c r="CP20" s="148">
        <f t="shared" si="42"/>
        <v>0.05841750954425751</v>
      </c>
      <c r="CQ20" s="148">
        <f t="shared" si="43"/>
        <v>0.05841750954425751</v>
      </c>
      <c r="CR20" s="149">
        <f t="shared" si="44"/>
        <v>-20.60247116139942</v>
      </c>
      <c r="CS20" s="72">
        <f t="shared" si="45"/>
        <v>-1331027.8</v>
      </c>
      <c r="CT20" s="76">
        <f t="shared" si="80"/>
        <v>609737.75</v>
      </c>
      <c r="CU20" s="76">
        <f t="shared" si="81"/>
        <v>674343</v>
      </c>
      <c r="CV20" s="76">
        <f t="shared" si="82"/>
        <v>64605.25</v>
      </c>
      <c r="CW20" s="76">
        <f t="shared" si="83"/>
        <v>0</v>
      </c>
      <c r="CX20" s="76">
        <f t="shared" si="84"/>
        <v>64605.25</v>
      </c>
      <c r="CY20" s="76">
        <f t="shared" si="85"/>
        <v>-2166.199999999997</v>
      </c>
      <c r="CZ20" s="76">
        <f t="shared" si="86"/>
        <v>0</v>
      </c>
      <c r="DA20" s="76">
        <f t="shared" si="87"/>
        <v>66771.45</v>
      </c>
      <c r="DB20" s="76">
        <f t="shared" si="88"/>
        <v>64605.25</v>
      </c>
      <c r="DC20" s="76">
        <f t="shared" si="89"/>
        <v>-66771.45</v>
      </c>
      <c r="DD20" s="76">
        <f t="shared" si="90"/>
        <v>-2166.199999999997</v>
      </c>
      <c r="DE20" s="76">
        <f t="shared" si="91"/>
        <v>181957.5</v>
      </c>
      <c r="DF20" s="76">
        <f t="shared" si="92"/>
        <v>-2991.0737078651687</v>
      </c>
      <c r="DG20" s="76">
        <f t="shared" si="93"/>
        <v>129.54337078651685</v>
      </c>
      <c r="DH20" s="76">
        <f t="shared" si="94"/>
        <v>408.89325842696627</v>
      </c>
      <c r="DI20" s="77">
        <f t="shared" si="95"/>
        <v>0</v>
      </c>
      <c r="DJ20" s="72">
        <f t="shared" si="96"/>
        <v>145.1803370786517</v>
      </c>
      <c r="DK20" s="151">
        <f t="shared" si="46"/>
        <v>-1331027.8</v>
      </c>
      <c r="DL20" s="136">
        <v>13</v>
      </c>
      <c r="DM20" s="136">
        <v>46</v>
      </c>
      <c r="DN20" s="65">
        <v>0</v>
      </c>
    </row>
    <row r="21" spans="1:118" ht="12.75">
      <c r="A21" s="50" t="s">
        <v>219</v>
      </c>
      <c r="B21" s="39">
        <v>3926</v>
      </c>
      <c r="C21" s="4">
        <v>16310356</v>
      </c>
      <c r="D21" s="66">
        <v>4154.45</v>
      </c>
      <c r="E21" s="66">
        <v>125.25</v>
      </c>
      <c r="F21" s="8">
        <v>10</v>
      </c>
      <c r="G21" s="129">
        <f>SUM(G40:G41)</f>
        <v>4568961.35</v>
      </c>
      <c r="H21" s="129">
        <f aca="true" t="shared" si="97" ref="H21:BU21">SUM(H40:H41)</f>
        <v>696644.6</v>
      </c>
      <c r="I21" s="129">
        <f t="shared" si="97"/>
        <v>118146.85</v>
      </c>
      <c r="J21" s="129">
        <f t="shared" si="97"/>
        <v>0</v>
      </c>
      <c r="K21" s="129">
        <f t="shared" si="97"/>
        <v>410460</v>
      </c>
      <c r="L21" s="129">
        <f t="shared" si="97"/>
        <v>816794</v>
      </c>
      <c r="M21" s="41">
        <f t="shared" si="0"/>
        <v>1227254</v>
      </c>
      <c r="N21" s="129">
        <f>SUM(N40:N41)</f>
        <v>2049.15</v>
      </c>
      <c r="O21" s="129">
        <f t="shared" si="97"/>
        <v>462963.15</v>
      </c>
      <c r="P21" s="129">
        <f t="shared" si="97"/>
        <v>1357.2</v>
      </c>
      <c r="Q21" s="129">
        <f t="shared" si="97"/>
        <v>2936</v>
      </c>
      <c r="R21" s="129">
        <f t="shared" si="97"/>
        <v>0</v>
      </c>
      <c r="S21" s="129">
        <f t="shared" si="97"/>
        <v>0</v>
      </c>
      <c r="T21" s="129">
        <f t="shared" si="97"/>
        <v>0</v>
      </c>
      <c r="U21" s="129">
        <f t="shared" si="97"/>
        <v>0</v>
      </c>
      <c r="V21" s="129">
        <f t="shared" si="97"/>
        <v>0</v>
      </c>
      <c r="W21" s="41">
        <f t="shared" si="63"/>
        <v>0</v>
      </c>
      <c r="X21" s="129">
        <f t="shared" si="97"/>
        <v>1342728</v>
      </c>
      <c r="Y21" s="41">
        <f t="shared" si="64"/>
        <v>8423040.3</v>
      </c>
      <c r="Z21" s="129">
        <f t="shared" si="97"/>
        <v>1275746</v>
      </c>
      <c r="AA21" s="129">
        <f t="shared" si="97"/>
        <v>1393119</v>
      </c>
      <c r="AB21" s="129">
        <f t="shared" si="97"/>
        <v>13926.6</v>
      </c>
      <c r="AC21" s="129">
        <f t="shared" si="97"/>
        <v>8592</v>
      </c>
      <c r="AD21" s="129">
        <f t="shared" si="97"/>
        <v>0</v>
      </c>
      <c r="AE21" s="41">
        <f t="shared" si="65"/>
        <v>2691383.6</v>
      </c>
      <c r="AF21" s="129">
        <f t="shared" si="97"/>
        <v>0</v>
      </c>
      <c r="AG21" s="129">
        <f t="shared" si="97"/>
        <v>19480.1</v>
      </c>
      <c r="AH21" s="129">
        <f t="shared" si="97"/>
        <v>0</v>
      </c>
      <c r="AI21" s="129">
        <f t="shared" si="97"/>
        <v>52653</v>
      </c>
      <c r="AJ21" s="129">
        <f t="shared" si="97"/>
        <v>2154792</v>
      </c>
      <c r="AK21" s="129">
        <f t="shared" si="97"/>
        <v>405838.9</v>
      </c>
      <c r="AL21" s="129">
        <f t="shared" si="97"/>
        <v>1934368.5</v>
      </c>
      <c r="AM21" s="129">
        <f t="shared" si="97"/>
        <v>1042.4</v>
      </c>
      <c r="AN21" s="129">
        <f t="shared" si="97"/>
        <v>0</v>
      </c>
      <c r="AO21" s="129">
        <f t="shared" si="97"/>
        <v>0</v>
      </c>
      <c r="AP21" s="129">
        <f t="shared" si="97"/>
        <v>0</v>
      </c>
      <c r="AQ21" s="129">
        <f t="shared" si="97"/>
        <v>0</v>
      </c>
      <c r="AR21" s="129">
        <f t="shared" si="97"/>
        <v>0</v>
      </c>
      <c r="AS21" s="4">
        <f t="shared" si="66"/>
        <v>0</v>
      </c>
      <c r="AT21" s="129">
        <f t="shared" si="97"/>
        <v>1342728</v>
      </c>
      <c r="AU21" s="4">
        <f t="shared" si="67"/>
        <v>8602286.5</v>
      </c>
      <c r="AV21" s="129">
        <f t="shared" si="97"/>
        <v>199131</v>
      </c>
      <c r="AW21" s="129">
        <f t="shared" si="97"/>
        <v>19884.8</v>
      </c>
      <c r="AX21" s="4">
        <f t="shared" si="68"/>
        <v>7.457856554538012E-10</v>
      </c>
      <c r="AY21" s="129">
        <f t="shared" si="97"/>
        <v>0</v>
      </c>
      <c r="AZ21" s="129">
        <f t="shared" si="97"/>
        <v>1756289.4</v>
      </c>
      <c r="BA21" s="129">
        <f t="shared" si="97"/>
        <v>0</v>
      </c>
      <c r="BB21" s="129">
        <f t="shared" si="97"/>
        <v>0</v>
      </c>
      <c r="BC21" s="129">
        <f t="shared" si="97"/>
        <v>0</v>
      </c>
      <c r="BD21" s="129">
        <f t="shared" si="97"/>
        <v>2351.8</v>
      </c>
      <c r="BE21" s="129">
        <f t="shared" si="97"/>
        <v>0</v>
      </c>
      <c r="BF21" s="41">
        <f t="shared" si="69"/>
        <v>1758641.2</v>
      </c>
      <c r="BG21" s="129">
        <f t="shared" si="97"/>
        <v>41427.2</v>
      </c>
      <c r="BH21" s="129">
        <f t="shared" si="97"/>
        <v>0</v>
      </c>
      <c r="BI21" s="129">
        <f t="shared" si="97"/>
        <v>3460</v>
      </c>
      <c r="BJ21" s="129">
        <f t="shared" si="97"/>
        <v>0</v>
      </c>
      <c r="BK21" s="129">
        <f t="shared" si="97"/>
        <v>3000</v>
      </c>
      <c r="BL21" s="129">
        <f t="shared" si="97"/>
        <v>0</v>
      </c>
      <c r="BM21" s="129">
        <f t="shared" si="97"/>
        <v>264960</v>
      </c>
      <c r="BN21" s="129">
        <f t="shared" si="97"/>
        <v>0</v>
      </c>
      <c r="BO21" s="41">
        <f t="shared" si="70"/>
        <v>312847.2</v>
      </c>
      <c r="BP21" s="129">
        <f t="shared" si="97"/>
        <v>312847.2</v>
      </c>
      <c r="BQ21" s="129">
        <f t="shared" si="97"/>
        <v>0</v>
      </c>
      <c r="BR21" s="129">
        <f t="shared" si="97"/>
        <v>1758641.2</v>
      </c>
      <c r="BS21" s="41">
        <f t="shared" si="71"/>
        <v>0</v>
      </c>
      <c r="BT21" s="129">
        <f t="shared" si="97"/>
        <v>2444791.95</v>
      </c>
      <c r="BU21" s="129">
        <f t="shared" si="97"/>
        <v>2082111.75</v>
      </c>
      <c r="BV21" s="129">
        <f aca="true" t="shared" si="98" ref="BV21:CA21">SUM(BV40:BV41)</f>
        <v>0</v>
      </c>
      <c r="BW21" s="129">
        <f t="shared" si="98"/>
        <v>19884.8</v>
      </c>
      <c r="BX21" s="4">
        <f t="shared" si="72"/>
        <v>4546788.5</v>
      </c>
      <c r="BY21" s="129">
        <f t="shared" si="98"/>
        <v>4321644.25</v>
      </c>
      <c r="BZ21" s="129">
        <f t="shared" si="98"/>
        <v>0</v>
      </c>
      <c r="CA21" s="129">
        <f t="shared" si="98"/>
        <v>225144.25</v>
      </c>
      <c r="CB21" s="4">
        <f t="shared" si="73"/>
        <v>4546788.5</v>
      </c>
      <c r="CC21" s="4">
        <f t="shared" si="74"/>
        <v>0</v>
      </c>
      <c r="CD21" s="70">
        <f t="shared" si="75"/>
        <v>1406500.2</v>
      </c>
      <c r="CE21" s="72">
        <f t="shared" si="76"/>
        <v>1406500.2</v>
      </c>
      <c r="CF21" s="72">
        <f t="shared" si="77"/>
        <v>1445794</v>
      </c>
      <c r="CG21" s="72">
        <f t="shared" si="35"/>
        <v>7258516.1</v>
      </c>
      <c r="CH21" s="72">
        <f t="shared" si="78"/>
        <v>98666.75</v>
      </c>
      <c r="CI21" s="35">
        <f t="shared" si="79"/>
        <v>509126.75</v>
      </c>
      <c r="CJ21" s="57">
        <f t="shared" si="36"/>
        <v>0.9728219926213554</v>
      </c>
      <c r="CK21" s="57">
        <f t="shared" si="37"/>
        <v>0.9728219926213554</v>
      </c>
      <c r="CL21" s="148">
        <f t="shared" si="38"/>
        <v>0.19377241582477167</v>
      </c>
      <c r="CM21" s="148">
        <f t="shared" si="39"/>
        <v>0.19377241582477167</v>
      </c>
      <c r="CN21" s="148">
        <f t="shared" si="40"/>
        <v>0.013593239808340441</v>
      </c>
      <c r="CO21" s="148">
        <f t="shared" si="41"/>
        <v>0.07014198811241874</v>
      </c>
      <c r="CP21" s="148">
        <f t="shared" si="42"/>
        <v>0.3708426607122528</v>
      </c>
      <c r="CQ21" s="148">
        <f t="shared" si="43"/>
        <v>0.12402980843081488</v>
      </c>
      <c r="CR21" s="149">
        <f t="shared" si="44"/>
        <v>-1.3344131056646844</v>
      </c>
      <c r="CS21" s="72">
        <f t="shared" si="45"/>
        <v>-1876852.2999999998</v>
      </c>
      <c r="CT21" s="76">
        <f t="shared" si="80"/>
        <v>7195786.300000001</v>
      </c>
      <c r="CU21" s="76">
        <f t="shared" si="81"/>
        <v>8602286.5</v>
      </c>
      <c r="CV21" s="76">
        <f t="shared" si="82"/>
        <v>1406500.1999999993</v>
      </c>
      <c r="CW21" s="76">
        <f t="shared" si="83"/>
        <v>0</v>
      </c>
      <c r="CX21" s="76">
        <f t="shared" si="84"/>
        <v>1406500.1999999993</v>
      </c>
      <c r="CY21" s="76">
        <f t="shared" si="85"/>
        <v>179246.19999999925</v>
      </c>
      <c r="CZ21" s="76">
        <f t="shared" si="86"/>
        <v>1445794</v>
      </c>
      <c r="DA21" s="76">
        <f t="shared" si="87"/>
        <v>1227254</v>
      </c>
      <c r="DB21" s="76">
        <f t="shared" si="88"/>
        <v>-39293.800000000745</v>
      </c>
      <c r="DC21" s="76">
        <f t="shared" si="89"/>
        <v>-1540101.2</v>
      </c>
      <c r="DD21" s="76">
        <f t="shared" si="90"/>
        <v>179246.19999999925</v>
      </c>
      <c r="DE21" s="76">
        <f t="shared" si="91"/>
        <v>2682791.6</v>
      </c>
      <c r="DF21" s="76">
        <f t="shared" si="92"/>
        <v>-478.05713194090674</v>
      </c>
      <c r="DG21" s="76">
        <f t="shared" si="93"/>
        <v>25.13162251655629</v>
      </c>
      <c r="DH21" s="76">
        <f t="shared" si="94"/>
        <v>683.3396841569028</v>
      </c>
      <c r="DI21" s="77">
        <f t="shared" si="95"/>
        <v>368.26133469179825</v>
      </c>
      <c r="DJ21" s="72">
        <f t="shared" si="96"/>
        <v>-10.008609271523369</v>
      </c>
      <c r="DK21" s="151">
        <f t="shared" si="46"/>
        <v>-1876852.3</v>
      </c>
      <c r="DL21" s="72">
        <f>DL40+DL41</f>
        <v>91</v>
      </c>
      <c r="DM21" s="72">
        <f>DM40+DM41</f>
        <v>504</v>
      </c>
      <c r="DN21" s="63">
        <v>0</v>
      </c>
    </row>
    <row r="22" spans="1:118" ht="12.75">
      <c r="A22" s="49" t="s">
        <v>14</v>
      </c>
      <c r="B22" s="44">
        <v>2737</v>
      </c>
      <c r="C22" s="36">
        <v>8967500</v>
      </c>
      <c r="D22" s="64">
        <v>3276.4</v>
      </c>
      <c r="E22" s="64">
        <v>98.78</v>
      </c>
      <c r="F22" s="124">
        <v>15</v>
      </c>
      <c r="G22" s="130">
        <v>2255431</v>
      </c>
      <c r="H22" s="40">
        <v>367711.9</v>
      </c>
      <c r="I22" s="40">
        <v>206316.95</v>
      </c>
      <c r="J22" s="40">
        <v>0</v>
      </c>
      <c r="K22" s="40">
        <v>360109.05</v>
      </c>
      <c r="L22" s="40">
        <v>0</v>
      </c>
      <c r="M22" s="41">
        <f t="shared" si="0"/>
        <v>360109.05</v>
      </c>
      <c r="N22" s="40">
        <v>0</v>
      </c>
      <c r="O22" s="40">
        <v>863213.85</v>
      </c>
      <c r="P22" s="40">
        <v>29532.5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63"/>
        <v>0</v>
      </c>
      <c r="X22" s="40">
        <v>0</v>
      </c>
      <c r="Y22" s="41">
        <f t="shared" si="64"/>
        <v>4082315.25</v>
      </c>
      <c r="Z22" s="40">
        <v>1579526.4</v>
      </c>
      <c r="AA22" s="40">
        <v>138232.95</v>
      </c>
      <c r="AB22" s="40">
        <v>0</v>
      </c>
      <c r="AC22" s="40">
        <v>23586.7</v>
      </c>
      <c r="AD22" s="40">
        <v>0</v>
      </c>
      <c r="AE22" s="41">
        <f t="shared" si="65"/>
        <v>1741346.0499999998</v>
      </c>
      <c r="AF22" s="40">
        <v>0</v>
      </c>
      <c r="AG22" s="40">
        <v>15958.7</v>
      </c>
      <c r="AH22" s="40">
        <v>0</v>
      </c>
      <c r="AI22" s="40">
        <v>71908.2</v>
      </c>
      <c r="AJ22" s="40">
        <v>1147114.6</v>
      </c>
      <c r="AK22" s="40">
        <v>466775.05</v>
      </c>
      <c r="AL22" s="40">
        <v>1061359.4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6"/>
        <v>0</v>
      </c>
      <c r="AT22" s="36">
        <v>0</v>
      </c>
      <c r="AU22" s="4">
        <f t="shared" si="67"/>
        <v>4504461.999999999</v>
      </c>
      <c r="AV22" s="36">
        <v>422146.75</v>
      </c>
      <c r="AW22" s="36">
        <v>0</v>
      </c>
      <c r="AX22" s="4">
        <f t="shared" si="68"/>
        <v>9.313225746154785E-10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9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70"/>
        <v>0</v>
      </c>
      <c r="BP22" s="40">
        <v>0</v>
      </c>
      <c r="BQ22" s="40">
        <v>0</v>
      </c>
      <c r="BR22" s="40">
        <v>0</v>
      </c>
      <c r="BS22" s="41">
        <f t="shared" si="71"/>
        <v>0</v>
      </c>
      <c r="BT22" s="36">
        <v>1691679.3</v>
      </c>
      <c r="BU22" s="36">
        <f>3858850.4</f>
        <v>3858850.4</v>
      </c>
      <c r="BV22" s="36">
        <v>0</v>
      </c>
      <c r="BW22" s="36">
        <v>0</v>
      </c>
      <c r="BX22" s="4">
        <f t="shared" si="72"/>
        <v>5550529.7</v>
      </c>
      <c r="BY22" s="36">
        <v>5099903.95</v>
      </c>
      <c r="BZ22" s="36">
        <v>0</v>
      </c>
      <c r="CA22" s="36">
        <f>927195.53-476569.78</f>
        <v>450625.75</v>
      </c>
      <c r="CB22" s="4">
        <f t="shared" si="73"/>
        <v>5550529.7</v>
      </c>
      <c r="CC22" s="4">
        <f t="shared" si="74"/>
        <v>0</v>
      </c>
      <c r="CD22" s="70">
        <f t="shared" si="75"/>
        <v>782255.8</v>
      </c>
      <c r="CE22" s="72">
        <f t="shared" si="76"/>
        <v>782255.8</v>
      </c>
      <c r="CF22" s="72">
        <f t="shared" si="77"/>
        <v>0</v>
      </c>
      <c r="CG22" s="72">
        <f t="shared" si="35"/>
        <v>4504461.999999999</v>
      </c>
      <c r="CH22" s="72">
        <f t="shared" si="78"/>
        <v>190358.25</v>
      </c>
      <c r="CI22" s="35">
        <f t="shared" si="79"/>
        <v>550467.3</v>
      </c>
      <c r="CJ22" s="57" t="str">
        <f t="shared" si="36"/>
        <v>-</v>
      </c>
      <c r="CK22" s="57" t="str">
        <f t="shared" si="37"/>
        <v>-</v>
      </c>
      <c r="CL22" s="148">
        <f t="shared" si="38"/>
        <v>0.1736624262786544</v>
      </c>
      <c r="CM22" s="148">
        <f t="shared" si="39"/>
        <v>0.1736624262786544</v>
      </c>
      <c r="CN22" s="148">
        <f t="shared" si="40"/>
        <v>0.042259930264701984</v>
      </c>
      <c r="CO22" s="148">
        <f t="shared" si="41"/>
        <v>0.12220489372537723</v>
      </c>
      <c r="CP22" s="148">
        <f t="shared" si="42"/>
        <v>0.08535494457051489</v>
      </c>
      <c r="CQ22" s="148">
        <f t="shared" si="43"/>
        <v>0.08535494457051489</v>
      </c>
      <c r="CR22" s="149">
        <f t="shared" si="44"/>
        <v>-4.356918350749205</v>
      </c>
      <c r="CS22" s="72">
        <f t="shared" si="45"/>
        <v>-3408224.6500000004</v>
      </c>
      <c r="CT22" s="76">
        <f t="shared" si="80"/>
        <v>3722206.2</v>
      </c>
      <c r="CU22" s="76">
        <f t="shared" si="81"/>
        <v>4504461.999999999</v>
      </c>
      <c r="CV22" s="76">
        <f t="shared" si="82"/>
        <v>782255.7999999989</v>
      </c>
      <c r="CW22" s="76">
        <f t="shared" si="83"/>
        <v>0</v>
      </c>
      <c r="CX22" s="76">
        <f t="shared" si="84"/>
        <v>782255.7999999989</v>
      </c>
      <c r="CY22" s="76">
        <f t="shared" si="85"/>
        <v>422146.7499999989</v>
      </c>
      <c r="CZ22" s="76">
        <f t="shared" si="86"/>
        <v>0</v>
      </c>
      <c r="DA22" s="76">
        <f t="shared" si="87"/>
        <v>360109.05</v>
      </c>
      <c r="DB22" s="76">
        <f t="shared" si="88"/>
        <v>782255.7999999989</v>
      </c>
      <c r="DC22" s="76">
        <f t="shared" si="89"/>
        <v>-360109.05</v>
      </c>
      <c r="DD22" s="76">
        <f t="shared" si="90"/>
        <v>422146.7499999989</v>
      </c>
      <c r="DE22" s="76">
        <f t="shared" si="91"/>
        <v>1717759.3499999999</v>
      </c>
      <c r="DF22" s="76">
        <f t="shared" si="92"/>
        <v>-1245.2410120569969</v>
      </c>
      <c r="DG22" s="76">
        <f t="shared" si="93"/>
        <v>69.54996346364632</v>
      </c>
      <c r="DH22" s="76">
        <f t="shared" si="94"/>
        <v>627.6066313481914</v>
      </c>
      <c r="DI22" s="77">
        <f t="shared" si="95"/>
        <v>0</v>
      </c>
      <c r="DJ22" s="72">
        <f t="shared" si="96"/>
        <v>285.80774570697804</v>
      </c>
      <c r="DK22" s="151">
        <f t="shared" si="46"/>
        <v>-3408224.65</v>
      </c>
      <c r="DL22" s="136">
        <v>69</v>
      </c>
      <c r="DM22" s="136">
        <v>256</v>
      </c>
      <c r="DN22" s="65">
        <v>0</v>
      </c>
    </row>
    <row r="23" spans="1:118" ht="12.75">
      <c r="A23" s="50" t="s">
        <v>15</v>
      </c>
      <c r="B23" s="39">
        <v>255</v>
      </c>
      <c r="C23" s="4">
        <v>757103</v>
      </c>
      <c r="D23" s="66">
        <v>2969.03</v>
      </c>
      <c r="E23" s="66">
        <v>89.51</v>
      </c>
      <c r="F23" s="8">
        <v>11</v>
      </c>
      <c r="G23" s="135">
        <f>(G43/($B$12+$B$14+$B$23)*$B$23)</f>
        <v>0</v>
      </c>
      <c r="H23" s="135">
        <f aca="true" t="shared" si="99" ref="H23:BU23">(H43/($B$12+$B$14+$B$23)*$B$23)</f>
        <v>0</v>
      </c>
      <c r="I23" s="135">
        <f t="shared" si="99"/>
        <v>0</v>
      </c>
      <c r="J23" s="135">
        <f t="shared" si="99"/>
        <v>0</v>
      </c>
      <c r="K23" s="135">
        <f t="shared" si="99"/>
        <v>0</v>
      </c>
      <c r="L23" s="135">
        <f t="shared" si="99"/>
        <v>0</v>
      </c>
      <c r="M23" s="41">
        <f t="shared" si="0"/>
        <v>0</v>
      </c>
      <c r="N23" s="135">
        <f t="shared" si="99"/>
        <v>0</v>
      </c>
      <c r="O23" s="135">
        <f t="shared" si="99"/>
        <v>0</v>
      </c>
      <c r="P23" s="135">
        <f t="shared" si="99"/>
        <v>0</v>
      </c>
      <c r="Q23" s="135">
        <f t="shared" si="99"/>
        <v>0</v>
      </c>
      <c r="R23" s="135">
        <f t="shared" si="99"/>
        <v>0</v>
      </c>
      <c r="S23" s="135">
        <f t="shared" si="99"/>
        <v>0</v>
      </c>
      <c r="T23" s="135">
        <f t="shared" si="99"/>
        <v>0</v>
      </c>
      <c r="U23" s="135">
        <f t="shared" si="99"/>
        <v>0</v>
      </c>
      <c r="V23" s="135">
        <f t="shared" si="99"/>
        <v>0</v>
      </c>
      <c r="W23" s="41">
        <f t="shared" si="63"/>
        <v>0</v>
      </c>
      <c r="X23" s="135">
        <f t="shared" si="99"/>
        <v>0</v>
      </c>
      <c r="Y23" s="41">
        <f>SUM(G23:X23)-M23-W23</f>
        <v>0</v>
      </c>
      <c r="Z23" s="135">
        <f t="shared" si="99"/>
        <v>0</v>
      </c>
      <c r="AA23" s="135">
        <f t="shared" si="99"/>
        <v>0</v>
      </c>
      <c r="AB23" s="135">
        <f t="shared" si="99"/>
        <v>0</v>
      </c>
      <c r="AC23" s="135">
        <f t="shared" si="99"/>
        <v>0</v>
      </c>
      <c r="AD23" s="135">
        <f t="shared" si="99"/>
        <v>0</v>
      </c>
      <c r="AE23" s="41">
        <f t="shared" si="65"/>
        <v>0</v>
      </c>
      <c r="AF23" s="135">
        <f t="shared" si="99"/>
        <v>0</v>
      </c>
      <c r="AG23" s="135">
        <f t="shared" si="99"/>
        <v>0</v>
      </c>
      <c r="AH23" s="135">
        <f t="shared" si="99"/>
        <v>0</v>
      </c>
      <c r="AI23" s="135">
        <f t="shared" si="99"/>
        <v>0</v>
      </c>
      <c r="AJ23" s="135">
        <f t="shared" si="99"/>
        <v>0</v>
      </c>
      <c r="AK23" s="135">
        <f t="shared" si="99"/>
        <v>0</v>
      </c>
      <c r="AL23" s="135">
        <f t="shared" si="99"/>
        <v>0</v>
      </c>
      <c r="AM23" s="135">
        <f t="shared" si="99"/>
        <v>0</v>
      </c>
      <c r="AN23" s="135">
        <f t="shared" si="99"/>
        <v>0</v>
      </c>
      <c r="AO23" s="135">
        <f t="shared" si="99"/>
        <v>0</v>
      </c>
      <c r="AP23" s="135">
        <f t="shared" si="99"/>
        <v>0</v>
      </c>
      <c r="AQ23" s="135">
        <f t="shared" si="99"/>
        <v>0</v>
      </c>
      <c r="AR23" s="135">
        <f t="shared" si="99"/>
        <v>0</v>
      </c>
      <c r="AS23" s="4">
        <f t="shared" si="66"/>
        <v>0</v>
      </c>
      <c r="AT23" s="135">
        <f t="shared" si="99"/>
        <v>0</v>
      </c>
      <c r="AU23" s="4">
        <f t="shared" si="67"/>
        <v>0</v>
      </c>
      <c r="AV23" s="135">
        <f t="shared" si="99"/>
        <v>0</v>
      </c>
      <c r="AW23" s="135">
        <f t="shared" si="99"/>
        <v>0</v>
      </c>
      <c r="AX23" s="4">
        <f t="shared" si="68"/>
        <v>0</v>
      </c>
      <c r="AY23" s="135">
        <f t="shared" si="99"/>
        <v>0</v>
      </c>
      <c r="AZ23" s="135">
        <f t="shared" si="99"/>
        <v>0</v>
      </c>
      <c r="BA23" s="135">
        <f t="shared" si="99"/>
        <v>0</v>
      </c>
      <c r="BB23" s="135">
        <f t="shared" si="99"/>
        <v>0</v>
      </c>
      <c r="BC23" s="135">
        <f t="shared" si="99"/>
        <v>0</v>
      </c>
      <c r="BD23" s="135">
        <f t="shared" si="99"/>
        <v>0</v>
      </c>
      <c r="BE23" s="135">
        <f t="shared" si="99"/>
        <v>0</v>
      </c>
      <c r="BF23" s="41">
        <f t="shared" si="69"/>
        <v>0</v>
      </c>
      <c r="BG23" s="135">
        <f t="shared" si="99"/>
        <v>0</v>
      </c>
      <c r="BH23" s="135">
        <f t="shared" si="99"/>
        <v>0</v>
      </c>
      <c r="BI23" s="135">
        <f t="shared" si="99"/>
        <v>0</v>
      </c>
      <c r="BJ23" s="135">
        <f t="shared" si="99"/>
        <v>0</v>
      </c>
      <c r="BK23" s="135">
        <f t="shared" si="99"/>
        <v>0</v>
      </c>
      <c r="BL23" s="135">
        <f t="shared" si="99"/>
        <v>0</v>
      </c>
      <c r="BM23" s="135">
        <f t="shared" si="99"/>
        <v>0</v>
      </c>
      <c r="BN23" s="135">
        <f t="shared" si="99"/>
        <v>0</v>
      </c>
      <c r="BO23" s="41">
        <f t="shared" si="70"/>
        <v>0</v>
      </c>
      <c r="BP23" s="135">
        <f t="shared" si="99"/>
        <v>0</v>
      </c>
      <c r="BQ23" s="135">
        <f t="shared" si="99"/>
        <v>0</v>
      </c>
      <c r="BR23" s="135">
        <f t="shared" si="99"/>
        <v>0</v>
      </c>
      <c r="BS23" s="41">
        <f t="shared" si="71"/>
        <v>0</v>
      </c>
      <c r="BT23" s="135">
        <f t="shared" si="99"/>
        <v>0</v>
      </c>
      <c r="BU23" s="135">
        <f t="shared" si="99"/>
        <v>0</v>
      </c>
      <c r="BV23" s="135">
        <f aca="true" t="shared" si="100" ref="BV23:CA23">(BV43/($B$12+$B$14+$B$23)*$B$23)</f>
        <v>0</v>
      </c>
      <c r="BW23" s="135">
        <f t="shared" si="100"/>
        <v>0</v>
      </c>
      <c r="BX23" s="4">
        <f t="shared" si="72"/>
        <v>0</v>
      </c>
      <c r="BY23" s="135">
        <f t="shared" si="100"/>
        <v>0</v>
      </c>
      <c r="BZ23" s="135">
        <f t="shared" si="100"/>
        <v>0</v>
      </c>
      <c r="CA23" s="135">
        <f t="shared" si="100"/>
        <v>0</v>
      </c>
      <c r="CB23" s="4">
        <f t="shared" si="73"/>
        <v>0</v>
      </c>
      <c r="CC23" s="4">
        <f t="shared" si="74"/>
        <v>0</v>
      </c>
      <c r="CD23" s="70">
        <f t="shared" si="75"/>
        <v>0</v>
      </c>
      <c r="CE23" s="72">
        <f t="shared" si="76"/>
        <v>0</v>
      </c>
      <c r="CF23" s="72">
        <f t="shared" si="77"/>
        <v>0</v>
      </c>
      <c r="CG23" s="72">
        <f t="shared" si="35"/>
        <v>0</v>
      </c>
      <c r="CH23" s="72">
        <f t="shared" si="78"/>
        <v>0</v>
      </c>
      <c r="CI23" s="35">
        <f t="shared" si="79"/>
        <v>0</v>
      </c>
      <c r="CJ23" s="57" t="str">
        <f t="shared" si="36"/>
        <v>-</v>
      </c>
      <c r="CK23" s="57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72">
        <f t="shared" si="45"/>
        <v>0</v>
      </c>
      <c r="CT23" s="76">
        <f t="shared" si="80"/>
        <v>0</v>
      </c>
      <c r="CU23" s="76">
        <f t="shared" si="81"/>
        <v>0</v>
      </c>
      <c r="CV23" s="76">
        <f t="shared" si="82"/>
        <v>0</v>
      </c>
      <c r="CW23" s="76">
        <f t="shared" si="83"/>
        <v>0</v>
      </c>
      <c r="CX23" s="76">
        <f t="shared" si="84"/>
        <v>0</v>
      </c>
      <c r="CY23" s="76">
        <f t="shared" si="85"/>
        <v>0</v>
      </c>
      <c r="CZ23" s="76">
        <f t="shared" si="86"/>
        <v>0</v>
      </c>
      <c r="DA23" s="76">
        <f t="shared" si="87"/>
        <v>0</v>
      </c>
      <c r="DB23" s="76">
        <f t="shared" si="88"/>
        <v>0</v>
      </c>
      <c r="DC23" s="76">
        <f t="shared" si="89"/>
        <v>0</v>
      </c>
      <c r="DD23" s="76">
        <f t="shared" si="90"/>
        <v>0</v>
      </c>
      <c r="DE23" s="76">
        <f t="shared" si="91"/>
        <v>0</v>
      </c>
      <c r="DF23" s="76">
        <f t="shared" si="92"/>
        <v>0</v>
      </c>
      <c r="DG23" s="76">
        <f t="shared" si="93"/>
        <v>0</v>
      </c>
      <c r="DH23" s="76">
        <f t="shared" si="94"/>
        <v>0</v>
      </c>
      <c r="DI23" s="77">
        <f t="shared" si="95"/>
        <v>0</v>
      </c>
      <c r="DJ23" s="72">
        <f t="shared" si="96"/>
        <v>0</v>
      </c>
      <c r="DK23" s="151">
        <f t="shared" si="46"/>
        <v>0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4">
        <v>3697</v>
      </c>
      <c r="C24" s="36">
        <v>11662107</v>
      </c>
      <c r="D24" s="64">
        <v>3154.48</v>
      </c>
      <c r="E24" s="64">
        <v>95.1</v>
      </c>
      <c r="F24" s="124">
        <v>12</v>
      </c>
      <c r="G24" s="130">
        <v>4943449.35</v>
      </c>
      <c r="H24" s="40">
        <v>928155.93</v>
      </c>
      <c r="I24" s="40">
        <v>291618.2</v>
      </c>
      <c r="J24" s="40">
        <v>0</v>
      </c>
      <c r="K24" s="40">
        <v>350000</v>
      </c>
      <c r="L24" s="40">
        <v>0</v>
      </c>
      <c r="M24" s="41">
        <f t="shared" si="0"/>
        <v>350000</v>
      </c>
      <c r="N24" s="40">
        <v>0</v>
      </c>
      <c r="O24" s="40">
        <v>283848.85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63"/>
        <v>0</v>
      </c>
      <c r="X24" s="40">
        <v>1595783.73</v>
      </c>
      <c r="Y24" s="41">
        <f t="shared" si="64"/>
        <v>8392856.059999999</v>
      </c>
      <c r="Z24" s="40">
        <v>1452760.85</v>
      </c>
      <c r="AA24" s="40">
        <v>207794.05</v>
      </c>
      <c r="AB24" s="40">
        <v>0</v>
      </c>
      <c r="AC24" s="40">
        <v>15473.1</v>
      </c>
      <c r="AD24" s="40">
        <v>0</v>
      </c>
      <c r="AE24" s="41">
        <f t="shared" si="65"/>
        <v>1676028.0000000002</v>
      </c>
      <c r="AF24" s="40">
        <v>0</v>
      </c>
      <c r="AG24" s="40">
        <v>25476.85</v>
      </c>
      <c r="AH24" s="40">
        <v>0</v>
      </c>
      <c r="AI24" s="40">
        <v>90886.1</v>
      </c>
      <c r="AJ24" s="40">
        <v>2249937.35</v>
      </c>
      <c r="AK24" s="40">
        <v>435301.55</v>
      </c>
      <c r="AL24" s="40">
        <v>2208880.15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4">
        <f t="shared" si="66"/>
        <v>0</v>
      </c>
      <c r="AT24" s="36">
        <v>1595783.73</v>
      </c>
      <c r="AU24" s="4">
        <f t="shared" si="67"/>
        <v>8282293.73</v>
      </c>
      <c r="AV24" s="36">
        <v>0</v>
      </c>
      <c r="AW24" s="36">
        <v>110562.33</v>
      </c>
      <c r="AX24" s="4">
        <f t="shared" si="68"/>
        <v>-1.7898855730891228E-09</v>
      </c>
      <c r="AY24" s="40">
        <v>37538.9</v>
      </c>
      <c r="AZ24" s="40">
        <v>319538.25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9"/>
        <v>319538.25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180000</v>
      </c>
      <c r="BM24" s="40">
        <v>0</v>
      </c>
      <c r="BN24" s="40">
        <v>0</v>
      </c>
      <c r="BO24" s="41">
        <f t="shared" si="70"/>
        <v>180000</v>
      </c>
      <c r="BP24" s="40">
        <v>180000</v>
      </c>
      <c r="BQ24" s="40">
        <v>0</v>
      </c>
      <c r="BR24" s="40">
        <v>319538.25</v>
      </c>
      <c r="BS24" s="41">
        <f t="shared" si="71"/>
        <v>0</v>
      </c>
      <c r="BT24" s="36">
        <v>1963436.92</v>
      </c>
      <c r="BU24" s="36">
        <v>5404539.25</v>
      </c>
      <c r="BV24" s="36">
        <v>0</v>
      </c>
      <c r="BW24" s="36">
        <v>0</v>
      </c>
      <c r="BX24" s="4">
        <f t="shared" si="72"/>
        <v>7367976.17</v>
      </c>
      <c r="BY24" s="36">
        <v>6579728.75</v>
      </c>
      <c r="BZ24" s="36">
        <v>62000</v>
      </c>
      <c r="CA24" s="36">
        <v>726247.42</v>
      </c>
      <c r="CB24" s="4">
        <f t="shared" si="73"/>
        <v>7367976.17</v>
      </c>
      <c r="CC24" s="4">
        <f t="shared" si="74"/>
        <v>0</v>
      </c>
      <c r="CD24" s="70">
        <f t="shared" si="75"/>
        <v>239437.66999999998</v>
      </c>
      <c r="CE24" s="72">
        <f t="shared" si="76"/>
        <v>239437.66999999998</v>
      </c>
      <c r="CF24" s="72">
        <f t="shared" si="77"/>
        <v>139538.25</v>
      </c>
      <c r="CG24" s="72">
        <f t="shared" si="35"/>
        <v>6686510</v>
      </c>
      <c r="CH24" s="72">
        <f t="shared" si="78"/>
        <v>303680.25000000006</v>
      </c>
      <c r="CI24" s="35">
        <f t="shared" si="79"/>
        <v>653680.25</v>
      </c>
      <c r="CJ24" s="57">
        <f t="shared" si="36"/>
        <v>1.7159285715565444</v>
      </c>
      <c r="CK24" s="57">
        <f t="shared" si="37"/>
        <v>1.7159285715565444</v>
      </c>
      <c r="CL24" s="148">
        <f t="shared" si="38"/>
        <v>0.035809064818567535</v>
      </c>
      <c r="CM24" s="148">
        <f t="shared" si="39"/>
        <v>0.035809064818567535</v>
      </c>
      <c r="CN24" s="148">
        <f t="shared" si="40"/>
        <v>0.04541685423337437</v>
      </c>
      <c r="CO24" s="148">
        <f t="shared" si="41"/>
        <v>0.09776105172952707</v>
      </c>
      <c r="CP24" s="148">
        <f t="shared" si="42"/>
        <v>0.06082155056983928</v>
      </c>
      <c r="CQ24" s="148">
        <f t="shared" si="43"/>
        <v>0.06082155056983928</v>
      </c>
      <c r="CR24" s="149">
        <f t="shared" si="44"/>
        <v>-19.279722484770254</v>
      </c>
      <c r="CS24" s="72">
        <f t="shared" si="45"/>
        <v>-4616291.83</v>
      </c>
      <c r="CT24" s="76">
        <f t="shared" si="80"/>
        <v>8042856.059999999</v>
      </c>
      <c r="CU24" s="76">
        <f t="shared" si="81"/>
        <v>8282293.73</v>
      </c>
      <c r="CV24" s="76">
        <f t="shared" si="82"/>
        <v>239437.6700000018</v>
      </c>
      <c r="CW24" s="76">
        <f t="shared" si="83"/>
        <v>0</v>
      </c>
      <c r="CX24" s="76">
        <f t="shared" si="84"/>
        <v>239437.6700000018</v>
      </c>
      <c r="CY24" s="76">
        <f t="shared" si="85"/>
        <v>-110562.32999999821</v>
      </c>
      <c r="CZ24" s="76">
        <f t="shared" si="86"/>
        <v>139538.25</v>
      </c>
      <c r="DA24" s="76">
        <f t="shared" si="87"/>
        <v>350000</v>
      </c>
      <c r="DB24" s="76">
        <f t="shared" si="88"/>
        <v>99899.42000000179</v>
      </c>
      <c r="DC24" s="76">
        <f t="shared" si="89"/>
        <v>-530000</v>
      </c>
      <c r="DD24" s="76">
        <f t="shared" si="90"/>
        <v>-110562.32999999821</v>
      </c>
      <c r="DE24" s="76">
        <f t="shared" si="91"/>
        <v>1660554.9000000001</v>
      </c>
      <c r="DF24" s="76">
        <f t="shared" si="92"/>
        <v>-1248.658866648634</v>
      </c>
      <c r="DG24" s="76">
        <f t="shared" si="93"/>
        <v>82.14234514471194</v>
      </c>
      <c r="DH24" s="76">
        <f t="shared" si="94"/>
        <v>449.16280768190427</v>
      </c>
      <c r="DI24" s="77">
        <f t="shared" si="95"/>
        <v>37.743643494725454</v>
      </c>
      <c r="DJ24" s="72">
        <f t="shared" si="96"/>
        <v>27.02175277251874</v>
      </c>
      <c r="DK24" s="151">
        <f t="shared" si="46"/>
        <v>-4678291.83</v>
      </c>
      <c r="DL24" s="136">
        <v>76</v>
      </c>
      <c r="DM24" s="136">
        <v>509</v>
      </c>
      <c r="DN24" s="65">
        <v>0</v>
      </c>
    </row>
    <row r="25" spans="1:118" ht="12.75">
      <c r="A25" s="50" t="s">
        <v>36</v>
      </c>
      <c r="B25" s="39">
        <v>1808</v>
      </c>
      <c r="C25" s="4">
        <v>3992876</v>
      </c>
      <c r="D25" s="66">
        <v>2208.45</v>
      </c>
      <c r="E25" s="66">
        <v>66.58</v>
      </c>
      <c r="F25" s="8">
        <v>13</v>
      </c>
      <c r="G25" s="129">
        <v>1344085.25</v>
      </c>
      <c r="H25" s="41">
        <v>227366.5</v>
      </c>
      <c r="I25" s="41">
        <v>50704.45</v>
      </c>
      <c r="J25" s="41">
        <v>0</v>
      </c>
      <c r="K25" s="41">
        <v>59000</v>
      </c>
      <c r="L25" s="41">
        <v>0</v>
      </c>
      <c r="M25" s="41">
        <f t="shared" si="0"/>
        <v>59000</v>
      </c>
      <c r="N25" s="41">
        <v>0</v>
      </c>
      <c r="O25" s="41">
        <v>379290.5</v>
      </c>
      <c r="P25" s="41">
        <v>8200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63"/>
        <v>0</v>
      </c>
      <c r="X25" s="41">
        <v>0</v>
      </c>
      <c r="Y25" s="41">
        <f t="shared" si="64"/>
        <v>2068646.7000000002</v>
      </c>
      <c r="Z25" s="41">
        <v>547417.8</v>
      </c>
      <c r="AA25" s="41">
        <v>9586.45</v>
      </c>
      <c r="AB25" s="41">
        <v>0</v>
      </c>
      <c r="AC25" s="41">
        <v>3360.75</v>
      </c>
      <c r="AD25" s="41">
        <v>0</v>
      </c>
      <c r="AE25" s="41">
        <f t="shared" si="65"/>
        <v>560365</v>
      </c>
      <c r="AF25" s="41">
        <v>0</v>
      </c>
      <c r="AG25" s="41">
        <v>272.8</v>
      </c>
      <c r="AH25" s="41">
        <v>0</v>
      </c>
      <c r="AI25" s="41">
        <v>28381.4</v>
      </c>
      <c r="AJ25" s="41">
        <v>783831.8</v>
      </c>
      <c r="AK25" s="41">
        <v>1000</v>
      </c>
      <c r="AL25" s="41">
        <v>574357.85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6"/>
        <v>0</v>
      </c>
      <c r="AT25" s="4">
        <v>0</v>
      </c>
      <c r="AU25" s="4">
        <f t="shared" si="67"/>
        <v>1948208.85</v>
      </c>
      <c r="AV25" s="4">
        <v>0</v>
      </c>
      <c r="AW25" s="4">
        <v>120437.85</v>
      </c>
      <c r="AX25" s="4">
        <f t="shared" si="68"/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9"/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f t="shared" si="70"/>
        <v>0</v>
      </c>
      <c r="BP25" s="41">
        <v>0</v>
      </c>
      <c r="BQ25" s="41">
        <v>0</v>
      </c>
      <c r="BR25" s="41">
        <v>0</v>
      </c>
      <c r="BS25" s="41">
        <f t="shared" si="71"/>
        <v>0</v>
      </c>
      <c r="BT25" s="4">
        <v>825702.55</v>
      </c>
      <c r="BU25" s="4">
        <v>625361.15</v>
      </c>
      <c r="BV25" s="4">
        <v>0</v>
      </c>
      <c r="BW25" s="4">
        <v>120437.85</v>
      </c>
      <c r="BX25" s="4">
        <f t="shared" si="72"/>
        <v>1571501.5500000003</v>
      </c>
      <c r="BY25" s="4">
        <v>1571501.55</v>
      </c>
      <c r="BZ25" s="4">
        <v>0</v>
      </c>
      <c r="CA25" s="4">
        <v>0</v>
      </c>
      <c r="CB25" s="4">
        <f t="shared" si="73"/>
        <v>1571501.55</v>
      </c>
      <c r="CC25" s="4">
        <f t="shared" si="74"/>
        <v>0</v>
      </c>
      <c r="CD25" s="70">
        <f t="shared" si="75"/>
        <v>-61437.850000000006</v>
      </c>
      <c r="CE25" s="72">
        <f t="shared" si="76"/>
        <v>-61437.850000000006</v>
      </c>
      <c r="CF25" s="72">
        <f t="shared" si="77"/>
        <v>0</v>
      </c>
      <c r="CG25" s="72">
        <f t="shared" si="35"/>
        <v>1948208.85</v>
      </c>
      <c r="CH25" s="72">
        <f t="shared" si="78"/>
        <v>50431.649999999994</v>
      </c>
      <c r="CI25" s="35">
        <f t="shared" si="79"/>
        <v>109431.65</v>
      </c>
      <c r="CJ25" s="57" t="str">
        <f t="shared" si="36"/>
        <v>-</v>
      </c>
      <c r="CK25" s="57" t="str">
        <f t="shared" si="37"/>
        <v>-</v>
      </c>
      <c r="CL25" s="148">
        <f t="shared" si="38"/>
        <v>-0.03153555636501703</v>
      </c>
      <c r="CM25" s="148">
        <f t="shared" si="39"/>
        <v>-0.03153555636501703</v>
      </c>
      <c r="CN25" s="148">
        <f t="shared" si="40"/>
        <v>0.025886162050849933</v>
      </c>
      <c r="CO25" s="148">
        <f t="shared" si="41"/>
        <v>0.056170389534982344</v>
      </c>
      <c r="CP25" s="148">
        <f t="shared" si="42"/>
        <v>0.08621179036828727</v>
      </c>
      <c r="CQ25" s="148">
        <f t="shared" si="43"/>
        <v>0.08621179036828727</v>
      </c>
      <c r="CR25" s="149">
        <f t="shared" si="44"/>
        <v>12.139080387741432</v>
      </c>
      <c r="CS25" s="72">
        <f t="shared" si="45"/>
        <v>-745799</v>
      </c>
      <c r="CT25" s="76">
        <f t="shared" si="80"/>
        <v>2009646.7000000002</v>
      </c>
      <c r="CU25" s="76">
        <f t="shared" si="81"/>
        <v>1948208.85</v>
      </c>
      <c r="CV25" s="76">
        <f t="shared" si="82"/>
        <v>-61437.85000000009</v>
      </c>
      <c r="CW25" s="76">
        <f t="shared" si="83"/>
        <v>0</v>
      </c>
      <c r="CX25" s="76">
        <f t="shared" si="84"/>
        <v>-61437.85000000009</v>
      </c>
      <c r="CY25" s="76">
        <f t="shared" si="85"/>
        <v>-120437.8500000001</v>
      </c>
      <c r="CZ25" s="76">
        <f t="shared" si="86"/>
        <v>0</v>
      </c>
      <c r="DA25" s="76">
        <f t="shared" si="87"/>
        <v>59000</v>
      </c>
      <c r="DB25" s="76">
        <f t="shared" si="88"/>
        <v>-61437.85000000009</v>
      </c>
      <c r="DC25" s="76">
        <f t="shared" si="89"/>
        <v>-59000</v>
      </c>
      <c r="DD25" s="76">
        <f t="shared" si="90"/>
        <v>-120437.8500000001</v>
      </c>
      <c r="DE25" s="76">
        <f t="shared" si="91"/>
        <v>557004.25</v>
      </c>
      <c r="DF25" s="76">
        <f t="shared" si="92"/>
        <v>-412.4994469026549</v>
      </c>
      <c r="DG25" s="76">
        <f t="shared" si="93"/>
        <v>27.893611725663714</v>
      </c>
      <c r="DH25" s="76">
        <f t="shared" si="94"/>
        <v>308.0775719026549</v>
      </c>
      <c r="DI25" s="77">
        <f t="shared" si="95"/>
        <v>0</v>
      </c>
      <c r="DJ25" s="72">
        <f t="shared" si="96"/>
        <v>-33.981111725663766</v>
      </c>
      <c r="DK25" s="151">
        <f t="shared" si="46"/>
        <v>-745799</v>
      </c>
      <c r="DL25" s="72">
        <v>57</v>
      </c>
      <c r="DM25" s="72">
        <v>172</v>
      </c>
      <c r="DN25" s="63">
        <v>0</v>
      </c>
    </row>
    <row r="26" spans="1:118" ht="12.75">
      <c r="A26" s="49" t="s">
        <v>17</v>
      </c>
      <c r="B26" s="44">
        <v>415</v>
      </c>
      <c r="C26" s="36">
        <v>1002945</v>
      </c>
      <c r="D26" s="64">
        <v>2416.73</v>
      </c>
      <c r="E26" s="64">
        <v>72.86</v>
      </c>
      <c r="F26" s="124">
        <v>10</v>
      </c>
      <c r="G26" s="130">
        <v>424034.75</v>
      </c>
      <c r="H26" s="40">
        <v>85174.9</v>
      </c>
      <c r="I26" s="40">
        <v>15047.5</v>
      </c>
      <c r="J26" s="40">
        <v>0</v>
      </c>
      <c r="K26" s="40">
        <v>67207.6</v>
      </c>
      <c r="L26" s="40">
        <v>0</v>
      </c>
      <c r="M26" s="41">
        <f t="shared" si="0"/>
        <v>67207.6</v>
      </c>
      <c r="N26" s="40">
        <v>0</v>
      </c>
      <c r="O26" s="40">
        <v>71025.2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63"/>
        <v>0</v>
      </c>
      <c r="X26" s="40">
        <v>0</v>
      </c>
      <c r="Y26" s="41">
        <f t="shared" si="64"/>
        <v>662489.95</v>
      </c>
      <c r="Z26" s="40">
        <v>121492.15</v>
      </c>
      <c r="AA26" s="40">
        <v>2832.2</v>
      </c>
      <c r="AB26" s="40">
        <v>0</v>
      </c>
      <c r="AC26" s="40">
        <v>1375.1</v>
      </c>
      <c r="AD26" s="40">
        <v>0</v>
      </c>
      <c r="AE26" s="41">
        <f t="shared" si="65"/>
        <v>125699.45</v>
      </c>
      <c r="AF26" s="40">
        <v>0</v>
      </c>
      <c r="AG26" s="40">
        <v>1155.05</v>
      </c>
      <c r="AH26" s="40">
        <v>0</v>
      </c>
      <c r="AI26" s="40">
        <v>11331.35</v>
      </c>
      <c r="AJ26" s="40">
        <v>212958.55</v>
      </c>
      <c r="AK26" s="40">
        <v>44853.45</v>
      </c>
      <c r="AL26" s="40">
        <v>164838.95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6"/>
        <v>0</v>
      </c>
      <c r="AT26" s="36">
        <v>0</v>
      </c>
      <c r="AU26" s="4">
        <f t="shared" si="67"/>
        <v>560836.8</v>
      </c>
      <c r="AV26" s="36">
        <v>0</v>
      </c>
      <c r="AW26" s="36">
        <v>101653.15</v>
      </c>
      <c r="AX26" s="4">
        <f t="shared" si="68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9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70"/>
        <v>0</v>
      </c>
      <c r="BP26" s="40">
        <v>0</v>
      </c>
      <c r="BQ26" s="40">
        <v>0</v>
      </c>
      <c r="BR26" s="40">
        <v>0</v>
      </c>
      <c r="BS26" s="41">
        <f t="shared" si="71"/>
        <v>0</v>
      </c>
      <c r="BT26" s="36">
        <v>73900.25</v>
      </c>
      <c r="BU26" s="36">
        <v>333701</v>
      </c>
      <c r="BV26" s="36">
        <v>0</v>
      </c>
      <c r="BW26" s="36">
        <v>194770.32</v>
      </c>
      <c r="BX26" s="4">
        <f t="shared" si="72"/>
        <v>602371.5700000001</v>
      </c>
      <c r="BY26" s="36">
        <v>602371.57</v>
      </c>
      <c r="BZ26" s="36">
        <v>0</v>
      </c>
      <c r="CA26" s="36">
        <v>0</v>
      </c>
      <c r="CB26" s="4">
        <f t="shared" si="73"/>
        <v>602371.57</v>
      </c>
      <c r="CC26" s="4">
        <f t="shared" si="74"/>
        <v>0</v>
      </c>
      <c r="CD26" s="70">
        <f t="shared" si="75"/>
        <v>-34445.54999999999</v>
      </c>
      <c r="CE26" s="72">
        <f t="shared" si="76"/>
        <v>-34445.54999999999</v>
      </c>
      <c r="CF26" s="72">
        <f t="shared" si="77"/>
        <v>0</v>
      </c>
      <c r="CG26" s="72">
        <f t="shared" si="35"/>
        <v>560836.8</v>
      </c>
      <c r="CH26" s="72">
        <f t="shared" si="78"/>
        <v>13892.45</v>
      </c>
      <c r="CI26" s="35">
        <f t="shared" si="79"/>
        <v>81100.05</v>
      </c>
      <c r="CJ26" s="57" t="str">
        <f t="shared" si="36"/>
        <v>-</v>
      </c>
      <c r="CK26" s="57" t="str">
        <f t="shared" si="37"/>
        <v>-</v>
      </c>
      <c r="CL26" s="148">
        <f t="shared" si="38"/>
        <v>-0.06141813447334409</v>
      </c>
      <c r="CM26" s="148">
        <f t="shared" si="39"/>
        <v>-0.06141813447334409</v>
      </c>
      <c r="CN26" s="148">
        <f t="shared" si="40"/>
        <v>0.02477093157938281</v>
      </c>
      <c r="CO26" s="148">
        <f t="shared" si="41"/>
        <v>0.14460543601989026</v>
      </c>
      <c r="CP26" s="148">
        <f t="shared" si="42"/>
        <v>0.16763820980642474</v>
      </c>
      <c r="CQ26" s="148">
        <f t="shared" si="43"/>
        <v>0.16763820980642474</v>
      </c>
      <c r="CR26" s="149">
        <f t="shared" si="44"/>
        <v>15.342223306058406</v>
      </c>
      <c r="CS26" s="72">
        <f t="shared" si="45"/>
        <v>-528471.32</v>
      </c>
      <c r="CT26" s="76">
        <f t="shared" si="80"/>
        <v>595282.35</v>
      </c>
      <c r="CU26" s="76">
        <f t="shared" si="81"/>
        <v>560836.8</v>
      </c>
      <c r="CV26" s="76">
        <f t="shared" si="82"/>
        <v>-34445.54999999993</v>
      </c>
      <c r="CW26" s="76">
        <f t="shared" si="83"/>
        <v>0</v>
      </c>
      <c r="CX26" s="76">
        <f t="shared" si="84"/>
        <v>-34445.54999999993</v>
      </c>
      <c r="CY26" s="76">
        <f t="shared" si="85"/>
        <v>-101653.14999999994</v>
      </c>
      <c r="CZ26" s="76">
        <f t="shared" si="86"/>
        <v>0</v>
      </c>
      <c r="DA26" s="76">
        <f t="shared" si="87"/>
        <v>67207.6</v>
      </c>
      <c r="DB26" s="76">
        <f t="shared" si="88"/>
        <v>-34445.54999999993</v>
      </c>
      <c r="DC26" s="76">
        <f t="shared" si="89"/>
        <v>-67207.6</v>
      </c>
      <c r="DD26" s="76">
        <f t="shared" si="90"/>
        <v>-101653.14999999994</v>
      </c>
      <c r="DE26" s="76">
        <f t="shared" si="91"/>
        <v>124324.34999999999</v>
      </c>
      <c r="DF26" s="76">
        <f t="shared" si="92"/>
        <v>-1273.4248674698795</v>
      </c>
      <c r="DG26" s="76">
        <f t="shared" si="93"/>
        <v>33.475783132530125</v>
      </c>
      <c r="DH26" s="76">
        <f t="shared" si="94"/>
        <v>299.57674698795176</v>
      </c>
      <c r="DI26" s="77">
        <f t="shared" si="95"/>
        <v>0</v>
      </c>
      <c r="DJ26" s="72">
        <f t="shared" si="96"/>
        <v>-83.00132530120464</v>
      </c>
      <c r="DK26" s="151">
        <f t="shared" si="46"/>
        <v>-528471.3200000001</v>
      </c>
      <c r="DL26" s="136">
        <v>12</v>
      </c>
      <c r="DM26" s="136">
        <v>50</v>
      </c>
      <c r="DN26" s="65">
        <v>0</v>
      </c>
    </row>
    <row r="27" spans="1:118" ht="12.75">
      <c r="A27" s="50" t="s">
        <v>18</v>
      </c>
      <c r="B27" s="39">
        <v>607</v>
      </c>
      <c r="C27" s="4">
        <v>1791676</v>
      </c>
      <c r="D27" s="66">
        <v>2951.69</v>
      </c>
      <c r="E27" s="66">
        <v>88.99</v>
      </c>
      <c r="F27" s="8">
        <v>14</v>
      </c>
      <c r="G27" s="129">
        <f>(G42/($B$11+$B$27)*$B$27)</f>
        <v>428474.60233291297</v>
      </c>
      <c r="H27" s="129">
        <f aca="true" t="shared" si="101" ref="H27:BU27">(H42/($B$11+$B$27)*$B$27)</f>
        <v>96655.70336538462</v>
      </c>
      <c r="I27" s="129">
        <f t="shared" si="101"/>
        <v>43426.9079445145</v>
      </c>
      <c r="J27" s="129">
        <f t="shared" si="101"/>
        <v>1196.0119798234552</v>
      </c>
      <c r="K27" s="129">
        <f t="shared" si="101"/>
        <v>63005.14564943253</v>
      </c>
      <c r="L27" s="129">
        <f t="shared" si="101"/>
        <v>13694.585939470366</v>
      </c>
      <c r="M27" s="41">
        <f t="shared" si="0"/>
        <v>76699.7315889029</v>
      </c>
      <c r="N27" s="129">
        <f t="shared" si="101"/>
        <v>0</v>
      </c>
      <c r="O27" s="129">
        <f t="shared" si="101"/>
        <v>176727.24149590163</v>
      </c>
      <c r="P27" s="129">
        <f t="shared" si="101"/>
        <v>0</v>
      </c>
      <c r="Q27" s="129">
        <f t="shared" si="101"/>
        <v>0</v>
      </c>
      <c r="R27" s="129">
        <f t="shared" si="101"/>
        <v>0</v>
      </c>
      <c r="S27" s="129">
        <f t="shared" si="101"/>
        <v>0</v>
      </c>
      <c r="T27" s="129">
        <f t="shared" si="101"/>
        <v>0</v>
      </c>
      <c r="U27" s="129">
        <f t="shared" si="101"/>
        <v>0</v>
      </c>
      <c r="V27" s="129">
        <f t="shared" si="101"/>
        <v>0</v>
      </c>
      <c r="W27" s="41">
        <f t="shared" si="63"/>
        <v>0</v>
      </c>
      <c r="X27" s="129">
        <f t="shared" si="101"/>
        <v>0</v>
      </c>
      <c r="Y27" s="41">
        <f t="shared" si="64"/>
        <v>823180.19870744</v>
      </c>
      <c r="Z27" s="129">
        <f t="shared" si="101"/>
        <v>381334.9048313367</v>
      </c>
      <c r="AA27" s="129">
        <f t="shared" si="101"/>
        <v>34966.45315258512</v>
      </c>
      <c r="AB27" s="129">
        <f t="shared" si="101"/>
        <v>0</v>
      </c>
      <c r="AC27" s="129">
        <f t="shared" si="101"/>
        <v>25916.33575031526</v>
      </c>
      <c r="AD27" s="129">
        <f t="shared" si="101"/>
        <v>0</v>
      </c>
      <c r="AE27" s="41">
        <f t="shared" si="65"/>
        <v>442217.6937342371</v>
      </c>
      <c r="AF27" s="129">
        <f t="shared" si="101"/>
        <v>0</v>
      </c>
      <c r="AG27" s="129">
        <f t="shared" si="101"/>
        <v>24244.468876103405</v>
      </c>
      <c r="AH27" s="129">
        <f t="shared" si="101"/>
        <v>0</v>
      </c>
      <c r="AI27" s="129">
        <f t="shared" si="101"/>
        <v>16542.198609709965</v>
      </c>
      <c r="AJ27" s="129">
        <f t="shared" si="101"/>
        <v>166033.70795239598</v>
      </c>
      <c r="AK27" s="129">
        <f t="shared" si="101"/>
        <v>6195.308567150064</v>
      </c>
      <c r="AL27" s="129">
        <f t="shared" si="101"/>
        <v>159612.33876891548</v>
      </c>
      <c r="AM27" s="129">
        <f t="shared" si="101"/>
        <v>0</v>
      </c>
      <c r="AN27" s="129">
        <f t="shared" si="101"/>
        <v>0</v>
      </c>
      <c r="AO27" s="129">
        <f t="shared" si="101"/>
        <v>0</v>
      </c>
      <c r="AP27" s="129">
        <f t="shared" si="101"/>
        <v>0</v>
      </c>
      <c r="AQ27" s="129">
        <f t="shared" si="101"/>
        <v>0</v>
      </c>
      <c r="AR27" s="129">
        <f t="shared" si="101"/>
        <v>0</v>
      </c>
      <c r="AS27" s="4">
        <f t="shared" si="66"/>
        <v>0</v>
      </c>
      <c r="AT27" s="129">
        <f t="shared" si="101"/>
        <v>10734.446721311477</v>
      </c>
      <c r="AU27" s="4">
        <f t="shared" si="67"/>
        <v>825580.1632298235</v>
      </c>
      <c r="AV27" s="129">
        <f t="shared" si="101"/>
        <v>2399.9645223833545</v>
      </c>
      <c r="AW27" s="129">
        <f t="shared" si="101"/>
        <v>0</v>
      </c>
      <c r="AX27" s="4">
        <f t="shared" si="68"/>
        <v>-5.411493475548923E-11</v>
      </c>
      <c r="AY27" s="129">
        <f t="shared" si="101"/>
        <v>0</v>
      </c>
      <c r="AZ27" s="129">
        <f t="shared" si="101"/>
        <v>6874.863437894073</v>
      </c>
      <c r="BA27" s="129">
        <f t="shared" si="101"/>
        <v>0</v>
      </c>
      <c r="BB27" s="129">
        <f t="shared" si="101"/>
        <v>0</v>
      </c>
      <c r="BC27" s="129">
        <f t="shared" si="101"/>
        <v>0</v>
      </c>
      <c r="BD27" s="129">
        <f t="shared" si="101"/>
        <v>0</v>
      </c>
      <c r="BE27" s="129">
        <f t="shared" si="101"/>
        <v>0</v>
      </c>
      <c r="BF27" s="41">
        <f t="shared" si="69"/>
        <v>6874.863437894073</v>
      </c>
      <c r="BG27" s="129">
        <f t="shared" si="101"/>
        <v>0</v>
      </c>
      <c r="BH27" s="129">
        <f t="shared" si="101"/>
        <v>0</v>
      </c>
      <c r="BI27" s="129">
        <f t="shared" si="101"/>
        <v>0</v>
      </c>
      <c r="BJ27" s="129">
        <f t="shared" si="101"/>
        <v>0</v>
      </c>
      <c r="BK27" s="129">
        <f t="shared" si="101"/>
        <v>0</v>
      </c>
      <c r="BL27" s="129">
        <f t="shared" si="101"/>
        <v>0</v>
      </c>
      <c r="BM27" s="129">
        <f t="shared" si="101"/>
        <v>2736.4754098360654</v>
      </c>
      <c r="BN27" s="129">
        <f t="shared" si="101"/>
        <v>0</v>
      </c>
      <c r="BO27" s="41">
        <f t="shared" si="70"/>
        <v>2736.4754098360654</v>
      </c>
      <c r="BP27" s="129">
        <f t="shared" si="101"/>
        <v>2736.4754098360654</v>
      </c>
      <c r="BQ27" s="129">
        <f t="shared" si="101"/>
        <v>0</v>
      </c>
      <c r="BR27" s="129">
        <f t="shared" si="101"/>
        <v>6874.863437894073</v>
      </c>
      <c r="BS27" s="41">
        <f t="shared" si="71"/>
        <v>0</v>
      </c>
      <c r="BT27" s="129">
        <f t="shared" si="101"/>
        <v>623341.6187894073</v>
      </c>
      <c r="BU27" s="129">
        <f t="shared" si="101"/>
        <v>668003.7870428752</v>
      </c>
      <c r="BV27" s="129">
        <f aca="true" t="shared" si="102" ref="BV27:CA27">(BV42/($B$11+$B$27)*$B$27)</f>
        <v>0</v>
      </c>
      <c r="BW27" s="129">
        <f t="shared" si="102"/>
        <v>0</v>
      </c>
      <c r="BX27" s="4">
        <f t="shared" si="72"/>
        <v>1291345.4058322825</v>
      </c>
      <c r="BY27" s="129">
        <f t="shared" si="102"/>
        <v>1222301.9497162674</v>
      </c>
      <c r="BZ27" s="129">
        <f t="shared" si="102"/>
        <v>0</v>
      </c>
      <c r="CA27" s="129">
        <f t="shared" si="102"/>
        <v>69043.45611601514</v>
      </c>
      <c r="CB27" s="4">
        <f t="shared" si="73"/>
        <v>1291345.4058322825</v>
      </c>
      <c r="CC27" s="4">
        <f t="shared" si="74"/>
        <v>0</v>
      </c>
      <c r="CD27" s="70">
        <f t="shared" si="75"/>
        <v>79099.69611128625</v>
      </c>
      <c r="CE27" s="72">
        <f t="shared" si="76"/>
        <v>79099.69611128625</v>
      </c>
      <c r="CF27" s="72">
        <f t="shared" si="77"/>
        <v>4138.388028058008</v>
      </c>
      <c r="CG27" s="72">
        <f t="shared" si="35"/>
        <v>814845.716508512</v>
      </c>
      <c r="CH27" s="72">
        <f t="shared" si="78"/>
        <v>19182.4390684111</v>
      </c>
      <c r="CI27" s="35">
        <f t="shared" si="79"/>
        <v>82187.58471784362</v>
      </c>
      <c r="CJ27" s="57">
        <f t="shared" si="36"/>
        <v>19.11364897998818</v>
      </c>
      <c r="CK27" s="57">
        <f t="shared" si="37"/>
        <v>19.11364897998818</v>
      </c>
      <c r="CL27" s="148">
        <f t="shared" si="38"/>
        <v>0.09707321828998036</v>
      </c>
      <c r="CM27" s="148">
        <f t="shared" si="39"/>
        <v>0.09707321828998036</v>
      </c>
      <c r="CN27" s="148">
        <f t="shared" si="40"/>
        <v>0.023541191516112874</v>
      </c>
      <c r="CO27" s="148">
        <f t="shared" si="41"/>
        <v>0.10086275604418063</v>
      </c>
      <c r="CP27" s="148">
        <f t="shared" si="42"/>
        <v>0.10299364736428407</v>
      </c>
      <c r="CQ27" s="148">
        <f t="shared" si="43"/>
        <v>0.08460433457490578</v>
      </c>
      <c r="CR27" s="149">
        <f t="shared" si="44"/>
        <v>-7.5722203797619665</v>
      </c>
      <c r="CS27" s="72">
        <f t="shared" si="45"/>
        <v>-598960.3309268601</v>
      </c>
      <c r="CT27" s="76">
        <f t="shared" si="80"/>
        <v>746480.4671185372</v>
      </c>
      <c r="CU27" s="76">
        <f t="shared" si="81"/>
        <v>825580.1632298235</v>
      </c>
      <c r="CV27" s="76">
        <f t="shared" si="82"/>
        <v>79099.69611128629</v>
      </c>
      <c r="CW27" s="76">
        <f t="shared" si="83"/>
        <v>0</v>
      </c>
      <c r="CX27" s="76">
        <f t="shared" si="84"/>
        <v>79099.69611128629</v>
      </c>
      <c r="CY27" s="76">
        <f t="shared" si="85"/>
        <v>2399.964522383394</v>
      </c>
      <c r="CZ27" s="76">
        <f t="shared" si="86"/>
        <v>4138.388028058008</v>
      </c>
      <c r="DA27" s="76">
        <f t="shared" si="87"/>
        <v>76699.7315889029</v>
      </c>
      <c r="DB27" s="76">
        <f t="shared" si="88"/>
        <v>74961.30808322829</v>
      </c>
      <c r="DC27" s="76">
        <f t="shared" si="89"/>
        <v>-79436.20699873897</v>
      </c>
      <c r="DD27" s="76">
        <f t="shared" si="90"/>
        <v>2399.9645223833904</v>
      </c>
      <c r="DE27" s="76">
        <f t="shared" si="91"/>
        <v>416301.35798392183</v>
      </c>
      <c r="DF27" s="76">
        <f t="shared" si="92"/>
        <v>-986.755075662043</v>
      </c>
      <c r="DG27" s="76">
        <f t="shared" si="93"/>
        <v>31.60204129886507</v>
      </c>
      <c r="DH27" s="76">
        <f t="shared" si="94"/>
        <v>685.834197667087</v>
      </c>
      <c r="DI27" s="77">
        <f t="shared" si="95"/>
        <v>6.817772698612863</v>
      </c>
      <c r="DJ27" s="72">
        <f t="shared" si="96"/>
        <v>123.49474148802024</v>
      </c>
      <c r="DK27" s="151">
        <f t="shared" si="46"/>
        <v>-598960.3309268601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4">
        <v>441</v>
      </c>
      <c r="C28" s="36">
        <v>811825</v>
      </c>
      <c r="D28" s="64">
        <v>1840.87</v>
      </c>
      <c r="E28" s="64">
        <v>55.5</v>
      </c>
      <c r="F28" s="124">
        <v>12</v>
      </c>
      <c r="G28" s="130">
        <v>409206</v>
      </c>
      <c r="H28" s="40">
        <v>94912</v>
      </c>
      <c r="I28" s="40">
        <v>52128</v>
      </c>
      <c r="J28" s="40">
        <v>0</v>
      </c>
      <c r="K28" s="40">
        <v>79600</v>
      </c>
      <c r="L28" s="40">
        <v>0</v>
      </c>
      <c r="M28" s="41">
        <f t="shared" si="0"/>
        <v>79600</v>
      </c>
      <c r="N28" s="40">
        <v>0</v>
      </c>
      <c r="O28" s="40">
        <v>326949</v>
      </c>
      <c r="P28" s="40">
        <v>2300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63"/>
        <v>0</v>
      </c>
      <c r="X28" s="40">
        <v>900</v>
      </c>
      <c r="Y28" s="41">
        <f t="shared" si="64"/>
        <v>965995</v>
      </c>
      <c r="Z28" s="40">
        <v>85284</v>
      </c>
      <c r="AA28" s="40">
        <v>0</v>
      </c>
      <c r="AB28" s="40">
        <v>0</v>
      </c>
      <c r="AC28" s="40">
        <v>0</v>
      </c>
      <c r="AD28" s="40">
        <v>0</v>
      </c>
      <c r="AE28" s="41">
        <f t="shared" si="65"/>
        <v>85284</v>
      </c>
      <c r="AF28" s="40">
        <v>0</v>
      </c>
      <c r="AG28" s="40">
        <v>10</v>
      </c>
      <c r="AH28" s="40">
        <v>0</v>
      </c>
      <c r="AI28" s="40">
        <v>25863</v>
      </c>
      <c r="AJ28" s="40">
        <v>235952</v>
      </c>
      <c r="AK28" s="40">
        <v>199692</v>
      </c>
      <c r="AL28" s="40">
        <v>237206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6"/>
        <v>0</v>
      </c>
      <c r="AT28" s="36">
        <v>900</v>
      </c>
      <c r="AU28" s="4">
        <f t="shared" si="67"/>
        <v>784907</v>
      </c>
      <c r="AV28" s="36">
        <v>0</v>
      </c>
      <c r="AW28" s="36">
        <v>181088</v>
      </c>
      <c r="AX28" s="4">
        <f t="shared" si="68"/>
        <v>0</v>
      </c>
      <c r="AY28" s="40">
        <v>0</v>
      </c>
      <c r="AZ28" s="40">
        <v>17023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9"/>
        <v>17023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17023</v>
      </c>
      <c r="BN28" s="40">
        <v>0</v>
      </c>
      <c r="BO28" s="41">
        <f t="shared" si="70"/>
        <v>17023</v>
      </c>
      <c r="BP28" s="40">
        <v>17023</v>
      </c>
      <c r="BQ28" s="40">
        <v>0</v>
      </c>
      <c r="BR28" s="40">
        <v>17023</v>
      </c>
      <c r="BS28" s="41">
        <f t="shared" si="71"/>
        <v>0</v>
      </c>
      <c r="BT28" s="36">
        <v>450886</v>
      </c>
      <c r="BU28" s="36">
        <v>904403</v>
      </c>
      <c r="BV28" s="36">
        <v>0</v>
      </c>
      <c r="BW28" s="36">
        <v>0</v>
      </c>
      <c r="BX28" s="4">
        <f t="shared" si="72"/>
        <v>1355289</v>
      </c>
      <c r="BY28" s="36">
        <v>1278130</v>
      </c>
      <c r="BZ28" s="36">
        <v>0</v>
      </c>
      <c r="CA28" s="36">
        <v>77159</v>
      </c>
      <c r="CB28" s="4">
        <f t="shared" si="73"/>
        <v>1355289</v>
      </c>
      <c r="CC28" s="4">
        <f t="shared" si="74"/>
        <v>0</v>
      </c>
      <c r="CD28" s="70">
        <f t="shared" si="75"/>
        <v>-101488</v>
      </c>
      <c r="CE28" s="72">
        <f t="shared" si="76"/>
        <v>-101488</v>
      </c>
      <c r="CF28" s="72">
        <f t="shared" si="77"/>
        <v>0</v>
      </c>
      <c r="CG28" s="72">
        <f t="shared" si="35"/>
        <v>784007</v>
      </c>
      <c r="CH28" s="72">
        <f t="shared" si="78"/>
        <v>52118</v>
      </c>
      <c r="CI28" s="35">
        <f t="shared" si="79"/>
        <v>131718</v>
      </c>
      <c r="CJ28" s="57" t="str">
        <f t="shared" si="36"/>
        <v>-</v>
      </c>
      <c r="CK28" s="57" t="str">
        <f t="shared" si="37"/>
        <v>-</v>
      </c>
      <c r="CL28" s="148">
        <f t="shared" si="38"/>
        <v>-0.1294478238076956</v>
      </c>
      <c r="CM28" s="148">
        <f t="shared" si="39"/>
        <v>-0.1294478238076956</v>
      </c>
      <c r="CN28" s="148">
        <f t="shared" si="40"/>
        <v>0.06647644727661871</v>
      </c>
      <c r="CO28" s="148">
        <f t="shared" si="41"/>
        <v>0.16800615300628693</v>
      </c>
      <c r="CP28" s="148">
        <f t="shared" si="42"/>
        <v>0.08089406231485066</v>
      </c>
      <c r="CQ28" s="148">
        <f t="shared" si="43"/>
        <v>0.08089406231485066</v>
      </c>
      <c r="CR28" s="149">
        <f t="shared" si="44"/>
        <v>8.151150874980294</v>
      </c>
      <c r="CS28" s="72">
        <f t="shared" si="45"/>
        <v>-827244</v>
      </c>
      <c r="CT28" s="76">
        <f t="shared" si="80"/>
        <v>886395</v>
      </c>
      <c r="CU28" s="76">
        <f t="shared" si="81"/>
        <v>784907</v>
      </c>
      <c r="CV28" s="76">
        <f t="shared" si="82"/>
        <v>-101488</v>
      </c>
      <c r="CW28" s="76">
        <f t="shared" si="83"/>
        <v>0</v>
      </c>
      <c r="CX28" s="76">
        <f t="shared" si="84"/>
        <v>-101488</v>
      </c>
      <c r="CY28" s="76">
        <f t="shared" si="85"/>
        <v>-181088</v>
      </c>
      <c r="CZ28" s="76">
        <f t="shared" si="86"/>
        <v>0</v>
      </c>
      <c r="DA28" s="76">
        <f t="shared" si="87"/>
        <v>79600</v>
      </c>
      <c r="DB28" s="76">
        <f t="shared" si="88"/>
        <v>-101488</v>
      </c>
      <c r="DC28" s="76">
        <f t="shared" si="89"/>
        <v>-96623</v>
      </c>
      <c r="DD28" s="76">
        <f t="shared" si="90"/>
        <v>-181088</v>
      </c>
      <c r="DE28" s="76">
        <f t="shared" si="91"/>
        <v>85284</v>
      </c>
      <c r="DF28" s="76">
        <f t="shared" si="92"/>
        <v>-1875.8367346938776</v>
      </c>
      <c r="DG28" s="76">
        <f t="shared" si="93"/>
        <v>118.18140589569161</v>
      </c>
      <c r="DH28" s="76">
        <f t="shared" si="94"/>
        <v>193.3877551020408</v>
      </c>
      <c r="DI28" s="77">
        <f t="shared" si="95"/>
        <v>0</v>
      </c>
      <c r="DJ28" s="72">
        <f t="shared" si="96"/>
        <v>-230.13151927437642</v>
      </c>
      <c r="DK28" s="151">
        <f t="shared" si="46"/>
        <v>-827244</v>
      </c>
      <c r="DL28" s="136">
        <v>14</v>
      </c>
      <c r="DM28" s="136">
        <v>39</v>
      </c>
      <c r="DN28" s="65">
        <v>0</v>
      </c>
    </row>
    <row r="29" spans="1:118" ht="12.75">
      <c r="A29" s="50" t="s">
        <v>21</v>
      </c>
      <c r="B29" s="39">
        <v>2623</v>
      </c>
      <c r="C29" s="4">
        <v>9612483</v>
      </c>
      <c r="D29" s="66">
        <v>3664.69</v>
      </c>
      <c r="E29" s="66">
        <v>110.49</v>
      </c>
      <c r="F29" s="8">
        <v>10</v>
      </c>
      <c r="G29" s="129">
        <v>4265098.55</v>
      </c>
      <c r="H29" s="41">
        <v>762623.15</v>
      </c>
      <c r="I29" s="41">
        <v>124259.55</v>
      </c>
      <c r="J29" s="41">
        <v>0</v>
      </c>
      <c r="K29" s="41">
        <v>201300</v>
      </c>
      <c r="L29" s="41">
        <v>0</v>
      </c>
      <c r="M29" s="41">
        <f t="shared" si="0"/>
        <v>201300</v>
      </c>
      <c r="N29" s="41">
        <v>0</v>
      </c>
      <c r="O29" s="41">
        <v>270565.2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63"/>
        <v>0</v>
      </c>
      <c r="X29" s="41">
        <v>823835.95</v>
      </c>
      <c r="Y29" s="41">
        <f t="shared" si="64"/>
        <v>6447682.4</v>
      </c>
      <c r="Z29" s="41">
        <v>884302.4</v>
      </c>
      <c r="AA29" s="41">
        <v>331293.9</v>
      </c>
      <c r="AB29" s="41">
        <v>0</v>
      </c>
      <c r="AC29" s="41">
        <v>17379.2</v>
      </c>
      <c r="AD29" s="41">
        <v>0</v>
      </c>
      <c r="AE29" s="41">
        <f t="shared" si="65"/>
        <v>1232975.5</v>
      </c>
      <c r="AF29" s="41">
        <v>0</v>
      </c>
      <c r="AG29" s="41">
        <v>1607.7</v>
      </c>
      <c r="AH29" s="41">
        <v>0</v>
      </c>
      <c r="AI29" s="41">
        <v>10511.25</v>
      </c>
      <c r="AJ29" s="41">
        <v>1696365.45</v>
      </c>
      <c r="AK29" s="41">
        <v>681327.55</v>
      </c>
      <c r="AL29" s="41">
        <v>1798131.95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6"/>
        <v>0</v>
      </c>
      <c r="AT29" s="4">
        <v>848429.15</v>
      </c>
      <c r="AU29" s="4">
        <f t="shared" si="67"/>
        <v>6269348.550000001</v>
      </c>
      <c r="AV29" s="4">
        <v>0</v>
      </c>
      <c r="AW29" s="4">
        <v>178333.85</v>
      </c>
      <c r="AX29" s="4">
        <f t="shared" si="68"/>
        <v>-3.7834979593753815E-10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9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70"/>
        <v>0</v>
      </c>
      <c r="BP29" s="41">
        <v>0</v>
      </c>
      <c r="BQ29" s="41">
        <v>0</v>
      </c>
      <c r="BR29" s="41">
        <v>0</v>
      </c>
      <c r="BS29" s="41">
        <f t="shared" si="71"/>
        <v>0</v>
      </c>
      <c r="BT29" s="4">
        <v>2209507.31</v>
      </c>
      <c r="BU29" s="4">
        <v>2330000</v>
      </c>
      <c r="BV29" s="4">
        <v>0</v>
      </c>
      <c r="BW29" s="4">
        <v>0</v>
      </c>
      <c r="BX29" s="4">
        <f t="shared" si="72"/>
        <v>4539507.3100000005</v>
      </c>
      <c r="BY29" s="4">
        <v>3916600.99</v>
      </c>
      <c r="BZ29" s="4">
        <v>0</v>
      </c>
      <c r="CA29" s="4">
        <v>622906.32</v>
      </c>
      <c r="CB29" s="4">
        <f t="shared" si="73"/>
        <v>4539507.3100000005</v>
      </c>
      <c r="CC29" s="4">
        <f t="shared" si="74"/>
        <v>0</v>
      </c>
      <c r="CD29" s="70">
        <f t="shared" si="75"/>
        <v>22966.149999999994</v>
      </c>
      <c r="CE29" s="72">
        <f t="shared" si="76"/>
        <v>22966.149999999994</v>
      </c>
      <c r="CF29" s="72">
        <f t="shared" si="77"/>
        <v>0</v>
      </c>
      <c r="CG29" s="72">
        <f t="shared" si="35"/>
        <v>5420919.4</v>
      </c>
      <c r="CH29" s="72">
        <f t="shared" si="78"/>
        <v>122651.85</v>
      </c>
      <c r="CI29" s="35">
        <f t="shared" si="79"/>
        <v>323951.85</v>
      </c>
      <c r="CJ29" s="57" t="str">
        <f t="shared" si="36"/>
        <v>-</v>
      </c>
      <c r="CK29" s="57" t="str">
        <f t="shared" si="37"/>
        <v>-</v>
      </c>
      <c r="CL29" s="148">
        <f t="shared" si="38"/>
        <v>0.004236578392956736</v>
      </c>
      <c r="CM29" s="148">
        <f t="shared" si="39"/>
        <v>0.004236578392956736</v>
      </c>
      <c r="CN29" s="148">
        <f t="shared" si="40"/>
        <v>0.022625654607592947</v>
      </c>
      <c r="CO29" s="148">
        <f t="shared" si="41"/>
        <v>0.05975957694556387</v>
      </c>
      <c r="CP29" s="148">
        <f t="shared" si="42"/>
        <v>0.07952435507446766</v>
      </c>
      <c r="CQ29" s="148">
        <f t="shared" si="43"/>
        <v>0.07952435507446766</v>
      </c>
      <c r="CR29" s="149">
        <f t="shared" si="44"/>
        <v>-74.33085998306206</v>
      </c>
      <c r="CS29" s="72">
        <f t="shared" si="45"/>
        <v>-1707093.6800000002</v>
      </c>
      <c r="CT29" s="76">
        <f t="shared" si="80"/>
        <v>6246382.4</v>
      </c>
      <c r="CU29" s="76">
        <f t="shared" si="81"/>
        <v>6269348.550000001</v>
      </c>
      <c r="CV29" s="76">
        <f t="shared" si="82"/>
        <v>22966.150000000373</v>
      </c>
      <c r="CW29" s="76">
        <f t="shared" si="83"/>
        <v>0</v>
      </c>
      <c r="CX29" s="76">
        <f t="shared" si="84"/>
        <v>22966.150000000373</v>
      </c>
      <c r="CY29" s="76">
        <f t="shared" si="85"/>
        <v>-178333.84999999963</v>
      </c>
      <c r="CZ29" s="76">
        <f t="shared" si="86"/>
        <v>0</v>
      </c>
      <c r="DA29" s="76">
        <f t="shared" si="87"/>
        <v>201300</v>
      </c>
      <c r="DB29" s="76">
        <f t="shared" si="88"/>
        <v>22966.150000000373</v>
      </c>
      <c r="DC29" s="76">
        <f t="shared" si="89"/>
        <v>-201300</v>
      </c>
      <c r="DD29" s="76">
        <f t="shared" si="90"/>
        <v>-178333.84999999963</v>
      </c>
      <c r="DE29" s="76">
        <f t="shared" si="91"/>
        <v>1215596.3</v>
      </c>
      <c r="DF29" s="76">
        <f t="shared" si="92"/>
        <v>-650.8172626763248</v>
      </c>
      <c r="DG29" s="76">
        <f t="shared" si="93"/>
        <v>46.76014105985513</v>
      </c>
      <c r="DH29" s="76">
        <f t="shared" si="94"/>
        <v>463.43739992375146</v>
      </c>
      <c r="DI29" s="77">
        <f t="shared" si="95"/>
        <v>0</v>
      </c>
      <c r="DJ29" s="72">
        <f t="shared" si="96"/>
        <v>8.75568051849042</v>
      </c>
      <c r="DK29" s="151">
        <f t="shared" si="46"/>
        <v>-1707093.6800000002</v>
      </c>
      <c r="DL29" s="72">
        <v>52</v>
      </c>
      <c r="DM29" s="72">
        <v>383</v>
      </c>
      <c r="DN29" s="63">
        <v>0</v>
      </c>
    </row>
    <row r="30" spans="1:118" ht="12.75">
      <c r="A30" s="49" t="s">
        <v>31</v>
      </c>
      <c r="B30" s="44">
        <v>398</v>
      </c>
      <c r="C30" s="36">
        <v>1209493</v>
      </c>
      <c r="D30" s="64">
        <v>3038.93</v>
      </c>
      <c r="E30" s="64">
        <v>91.62</v>
      </c>
      <c r="F30" s="124">
        <v>14</v>
      </c>
      <c r="G30" s="130">
        <v>448336.4</v>
      </c>
      <c r="H30" s="40">
        <v>97636.8</v>
      </c>
      <c r="I30" s="40">
        <v>57485.6</v>
      </c>
      <c r="J30" s="40">
        <v>0</v>
      </c>
      <c r="K30" s="40">
        <v>123998.5</v>
      </c>
      <c r="L30" s="40">
        <v>0</v>
      </c>
      <c r="M30" s="41">
        <f t="shared" si="0"/>
        <v>123998.5</v>
      </c>
      <c r="N30" s="40">
        <v>0</v>
      </c>
      <c r="O30" s="40">
        <v>97136.05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63"/>
        <v>0</v>
      </c>
      <c r="X30" s="40">
        <v>59902.1</v>
      </c>
      <c r="Y30" s="41">
        <f t="shared" si="64"/>
        <v>884495.4500000001</v>
      </c>
      <c r="Z30" s="40">
        <v>223865.65</v>
      </c>
      <c r="AA30" s="40">
        <v>0</v>
      </c>
      <c r="AB30" s="40">
        <v>0</v>
      </c>
      <c r="AC30" s="40">
        <v>2012.7</v>
      </c>
      <c r="AD30" s="40">
        <v>0</v>
      </c>
      <c r="AE30" s="41">
        <f t="shared" si="65"/>
        <v>225878.35</v>
      </c>
      <c r="AF30" s="40">
        <v>0</v>
      </c>
      <c r="AG30" s="40">
        <v>14181.3</v>
      </c>
      <c r="AH30" s="40">
        <v>0</v>
      </c>
      <c r="AI30" s="40">
        <v>4170.15</v>
      </c>
      <c r="AJ30" s="40">
        <v>181641.4</v>
      </c>
      <c r="AK30" s="40">
        <v>0</v>
      </c>
      <c r="AL30" s="40">
        <v>189859.35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6"/>
        <v>0</v>
      </c>
      <c r="AT30" s="36">
        <v>59902.1</v>
      </c>
      <c r="AU30" s="4">
        <f t="shared" si="67"/>
        <v>675632.65</v>
      </c>
      <c r="AV30" s="36">
        <v>0</v>
      </c>
      <c r="AW30" s="36">
        <v>208862.8</v>
      </c>
      <c r="AX30" s="4">
        <f t="shared" si="68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9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70"/>
        <v>0</v>
      </c>
      <c r="BP30" s="40">
        <v>0</v>
      </c>
      <c r="BQ30" s="40">
        <v>0</v>
      </c>
      <c r="BR30" s="40">
        <v>0</v>
      </c>
      <c r="BS30" s="41">
        <f t="shared" si="71"/>
        <v>0</v>
      </c>
      <c r="BT30" s="36">
        <v>384707.45</v>
      </c>
      <c r="BU30" s="36">
        <v>527802.8</v>
      </c>
      <c r="BV30" s="36">
        <v>0</v>
      </c>
      <c r="BW30" s="36">
        <v>208862.8</v>
      </c>
      <c r="BX30" s="4">
        <f t="shared" si="72"/>
        <v>1121373.05</v>
      </c>
      <c r="BY30" s="36">
        <v>1107812.55</v>
      </c>
      <c r="BZ30" s="36">
        <v>0</v>
      </c>
      <c r="CA30" s="36">
        <v>13560.5</v>
      </c>
      <c r="CB30" s="4">
        <f t="shared" si="73"/>
        <v>1121373.05</v>
      </c>
      <c r="CC30" s="4">
        <f t="shared" si="74"/>
        <v>0</v>
      </c>
      <c r="CD30" s="70">
        <f t="shared" si="75"/>
        <v>-84864.29999999999</v>
      </c>
      <c r="CE30" s="72">
        <f t="shared" si="76"/>
        <v>-84864.29999999999</v>
      </c>
      <c r="CF30" s="72">
        <f t="shared" si="77"/>
        <v>0</v>
      </c>
      <c r="CG30" s="72">
        <f t="shared" si="35"/>
        <v>615730.55</v>
      </c>
      <c r="CH30" s="72">
        <f t="shared" si="78"/>
        <v>43304.3</v>
      </c>
      <c r="CI30" s="35">
        <f t="shared" si="79"/>
        <v>167302.8</v>
      </c>
      <c r="CJ30" s="57" t="str">
        <f t="shared" si="36"/>
        <v>-</v>
      </c>
      <c r="CK30" s="57" t="str">
        <f t="shared" si="37"/>
        <v>-</v>
      </c>
      <c r="CL30" s="148">
        <f t="shared" si="38"/>
        <v>-0.13782700890836094</v>
      </c>
      <c r="CM30" s="148">
        <f t="shared" si="39"/>
        <v>-0.13782700890836094</v>
      </c>
      <c r="CN30" s="148">
        <f t="shared" si="40"/>
        <v>0.07032995195706954</v>
      </c>
      <c r="CO30" s="148">
        <f t="shared" si="41"/>
        <v>0.2717143075002531</v>
      </c>
      <c r="CP30" s="148">
        <f t="shared" si="42"/>
        <v>0.1902397248977564</v>
      </c>
      <c r="CQ30" s="148">
        <f t="shared" si="43"/>
        <v>0.1902397248977564</v>
      </c>
      <c r="CR30" s="149">
        <f t="shared" si="44"/>
        <v>8.520721905441984</v>
      </c>
      <c r="CS30" s="72">
        <f t="shared" si="45"/>
        <v>-723105.1000000001</v>
      </c>
      <c r="CT30" s="76">
        <f t="shared" si="80"/>
        <v>760496.9500000001</v>
      </c>
      <c r="CU30" s="76">
        <f t="shared" si="81"/>
        <v>675632.65</v>
      </c>
      <c r="CV30" s="76">
        <f t="shared" si="82"/>
        <v>-84864.30000000005</v>
      </c>
      <c r="CW30" s="76">
        <f t="shared" si="83"/>
        <v>0</v>
      </c>
      <c r="CX30" s="76">
        <f t="shared" si="84"/>
        <v>-84864.30000000005</v>
      </c>
      <c r="CY30" s="76">
        <f t="shared" si="85"/>
        <v>-208862.80000000005</v>
      </c>
      <c r="CZ30" s="76">
        <f t="shared" si="86"/>
        <v>0</v>
      </c>
      <c r="DA30" s="76">
        <f t="shared" si="87"/>
        <v>123998.5</v>
      </c>
      <c r="DB30" s="76">
        <f t="shared" si="88"/>
        <v>-84864.30000000005</v>
      </c>
      <c r="DC30" s="76">
        <f t="shared" si="89"/>
        <v>-123998.5</v>
      </c>
      <c r="DD30" s="76">
        <f t="shared" si="90"/>
        <v>-208862.80000000005</v>
      </c>
      <c r="DE30" s="76">
        <f t="shared" si="91"/>
        <v>223865.65</v>
      </c>
      <c r="DF30" s="76">
        <f t="shared" si="92"/>
        <v>-1816.8469849246233</v>
      </c>
      <c r="DG30" s="76">
        <f t="shared" si="93"/>
        <v>108.80477386934675</v>
      </c>
      <c r="DH30" s="76">
        <f t="shared" si="94"/>
        <v>562.4765075376885</v>
      </c>
      <c r="DI30" s="77">
        <f t="shared" si="95"/>
        <v>0</v>
      </c>
      <c r="DJ30" s="72">
        <f t="shared" si="96"/>
        <v>-213.22688442211066</v>
      </c>
      <c r="DK30" s="151">
        <f t="shared" si="46"/>
        <v>-723105.1000000001</v>
      </c>
      <c r="DL30" s="136">
        <v>8</v>
      </c>
      <c r="DM30" s="136">
        <v>48</v>
      </c>
      <c r="DN30" s="65">
        <v>0</v>
      </c>
    </row>
    <row r="31" spans="1:118" ht="13.5" thickBot="1">
      <c r="A31" s="51" t="s">
        <v>20</v>
      </c>
      <c r="B31" s="45">
        <v>292</v>
      </c>
      <c r="C31" s="7">
        <v>1004874</v>
      </c>
      <c r="D31" s="67">
        <v>3441.35</v>
      </c>
      <c r="E31" s="67">
        <v>103.75</v>
      </c>
      <c r="F31" s="125">
        <v>10</v>
      </c>
      <c r="G31" s="129">
        <v>343312.5</v>
      </c>
      <c r="H31" s="41">
        <v>94398.9</v>
      </c>
      <c r="I31" s="41">
        <v>2521.3</v>
      </c>
      <c r="J31" s="41">
        <v>0</v>
      </c>
      <c r="K31" s="41">
        <v>8983.1</v>
      </c>
      <c r="L31" s="41">
        <v>0</v>
      </c>
      <c r="M31" s="41">
        <f t="shared" si="0"/>
        <v>8983.1</v>
      </c>
      <c r="N31" s="41">
        <v>99308.7</v>
      </c>
      <c r="O31" s="41">
        <v>0</v>
      </c>
      <c r="P31" s="41">
        <v>387</v>
      </c>
      <c r="Q31" s="41">
        <v>0</v>
      </c>
      <c r="R31" s="41">
        <v>2671</v>
      </c>
      <c r="S31" s="41">
        <v>0</v>
      </c>
      <c r="T31" s="41">
        <v>0</v>
      </c>
      <c r="U31" s="41">
        <v>0</v>
      </c>
      <c r="V31" s="41">
        <v>0</v>
      </c>
      <c r="W31" s="41">
        <f t="shared" si="63"/>
        <v>2671</v>
      </c>
      <c r="X31" s="41">
        <v>30000</v>
      </c>
      <c r="Y31" s="41">
        <f t="shared" si="64"/>
        <v>581582.5</v>
      </c>
      <c r="Z31" s="41">
        <v>321553.55</v>
      </c>
      <c r="AA31" s="41">
        <v>1123.5</v>
      </c>
      <c r="AB31" s="41">
        <v>1454.95</v>
      </c>
      <c r="AC31" s="41">
        <v>0</v>
      </c>
      <c r="AD31" s="41">
        <v>0</v>
      </c>
      <c r="AE31" s="41">
        <f t="shared" si="65"/>
        <v>324132</v>
      </c>
      <c r="AF31" s="41">
        <v>0</v>
      </c>
      <c r="AG31" s="41">
        <v>712.75</v>
      </c>
      <c r="AH31" s="41">
        <v>0</v>
      </c>
      <c r="AI31" s="41">
        <v>55899.8</v>
      </c>
      <c r="AJ31" s="41">
        <v>0</v>
      </c>
      <c r="AK31" s="41">
        <v>0</v>
      </c>
      <c r="AL31" s="41">
        <v>155310.2</v>
      </c>
      <c r="AM31" s="41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6"/>
        <v>0</v>
      </c>
      <c r="AT31" s="4">
        <v>30000</v>
      </c>
      <c r="AU31" s="4">
        <f t="shared" si="67"/>
        <v>566054.75</v>
      </c>
      <c r="AV31" s="4">
        <v>0</v>
      </c>
      <c r="AW31" s="4">
        <v>15527.75</v>
      </c>
      <c r="AX31" s="4">
        <f t="shared" si="68"/>
        <v>0</v>
      </c>
      <c r="AY31" s="41">
        <v>0</v>
      </c>
      <c r="AZ31" s="41">
        <v>107983.1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9"/>
        <v>107983.1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35000</v>
      </c>
      <c r="BN31" s="41">
        <v>0</v>
      </c>
      <c r="BO31" s="41">
        <f t="shared" si="70"/>
        <v>35000</v>
      </c>
      <c r="BP31" s="41">
        <v>35000</v>
      </c>
      <c r="BQ31" s="41">
        <v>0</v>
      </c>
      <c r="BR31" s="41">
        <v>107983.1</v>
      </c>
      <c r="BS31" s="41">
        <f t="shared" si="71"/>
        <v>0</v>
      </c>
      <c r="BT31" s="4">
        <v>276340.5</v>
      </c>
      <c r="BU31" s="4">
        <v>73000</v>
      </c>
      <c r="BV31" s="4">
        <v>0</v>
      </c>
      <c r="BW31" s="4">
        <v>0</v>
      </c>
      <c r="BX31" s="4">
        <f t="shared" si="72"/>
        <v>349340.5</v>
      </c>
      <c r="BY31" s="4">
        <v>270223.4</v>
      </c>
      <c r="BZ31" s="4">
        <v>22671</v>
      </c>
      <c r="CA31" s="4">
        <v>56446.1</v>
      </c>
      <c r="CB31" s="4">
        <f t="shared" si="73"/>
        <v>349340.5</v>
      </c>
      <c r="CC31" s="4">
        <f t="shared" si="74"/>
        <v>0</v>
      </c>
      <c r="CD31" s="70">
        <f t="shared" si="75"/>
        <v>-6544.65</v>
      </c>
      <c r="CE31" s="72">
        <f t="shared" si="76"/>
        <v>-3873.6499999999996</v>
      </c>
      <c r="CF31" s="72">
        <f t="shared" si="77"/>
        <v>72983.1</v>
      </c>
      <c r="CG31" s="72">
        <f t="shared" si="35"/>
        <v>536054.75</v>
      </c>
      <c r="CH31" s="72">
        <f t="shared" si="78"/>
        <v>1808.5500000000002</v>
      </c>
      <c r="CI31" s="35">
        <f t="shared" si="79"/>
        <v>10791.650000000001</v>
      </c>
      <c r="CJ31" s="57">
        <f t="shared" si="36"/>
        <v>-0.08967349975542283</v>
      </c>
      <c r="CK31" s="57">
        <f t="shared" si="37"/>
        <v>-0.053075986084449675</v>
      </c>
      <c r="CL31" s="148">
        <f t="shared" si="38"/>
        <v>-0.012208920823852413</v>
      </c>
      <c r="CM31" s="148">
        <f t="shared" si="39"/>
        <v>-0.007226220829122398</v>
      </c>
      <c r="CN31" s="148">
        <f t="shared" si="40"/>
        <v>0.003373815827581045</v>
      </c>
      <c r="CO31" s="148">
        <f t="shared" si="41"/>
        <v>0.02013161901839318</v>
      </c>
      <c r="CP31" s="148">
        <f t="shared" si="42"/>
        <v>0.10957258264203232</v>
      </c>
      <c r="CQ31" s="148">
        <f t="shared" si="43"/>
        <v>0.10957258264203232</v>
      </c>
      <c r="CR31" s="149">
        <f t="shared" si="44"/>
        <v>-1.5791566093993978</v>
      </c>
      <c r="CS31" s="72">
        <f t="shared" si="45"/>
        <v>6117.099999999977</v>
      </c>
      <c r="CT31" s="76">
        <f t="shared" si="80"/>
        <v>572599.4</v>
      </c>
      <c r="CU31" s="76">
        <f t="shared" si="81"/>
        <v>566054.75</v>
      </c>
      <c r="CV31" s="76">
        <f t="shared" si="82"/>
        <v>-6544.650000000023</v>
      </c>
      <c r="CW31" s="76">
        <f t="shared" si="83"/>
        <v>0</v>
      </c>
      <c r="CX31" s="76">
        <f t="shared" si="84"/>
        <v>-6544.650000000023</v>
      </c>
      <c r="CY31" s="76">
        <f t="shared" si="85"/>
        <v>-15527.750000000024</v>
      </c>
      <c r="CZ31" s="76">
        <f t="shared" si="86"/>
        <v>72983.1</v>
      </c>
      <c r="DA31" s="76">
        <f t="shared" si="87"/>
        <v>8983.1</v>
      </c>
      <c r="DB31" s="76">
        <f t="shared" si="88"/>
        <v>-79527.75000000003</v>
      </c>
      <c r="DC31" s="76">
        <f t="shared" si="89"/>
        <v>-43983.1</v>
      </c>
      <c r="DD31" s="76">
        <f t="shared" si="90"/>
        <v>-15527.75000000003</v>
      </c>
      <c r="DE31" s="76">
        <f t="shared" si="91"/>
        <v>324132</v>
      </c>
      <c r="DF31" s="76">
        <f t="shared" si="92"/>
        <v>20.948972602739648</v>
      </c>
      <c r="DG31" s="76">
        <f t="shared" si="93"/>
        <v>6.193664383561645</v>
      </c>
      <c r="DH31" s="76">
        <f t="shared" si="94"/>
        <v>1110.041095890411</v>
      </c>
      <c r="DI31" s="77">
        <f t="shared" si="95"/>
        <v>249.94212328767125</v>
      </c>
      <c r="DJ31" s="72">
        <f t="shared" si="96"/>
        <v>-272.3553082191782</v>
      </c>
      <c r="DK31" s="151">
        <f t="shared" si="46"/>
        <v>-16553.9</v>
      </c>
      <c r="DL31" s="72">
        <v>15</v>
      </c>
      <c r="DM31" s="137">
        <v>35</v>
      </c>
      <c r="DN31" s="68">
        <v>0</v>
      </c>
    </row>
    <row r="32" spans="1:118" ht="12" customHeight="1">
      <c r="A32" s="29" t="s">
        <v>70</v>
      </c>
      <c r="B32" s="23">
        <f aca="true" t="shared" si="103" ref="B32:BM32">SUM(B3:B31)</f>
        <v>38207</v>
      </c>
      <c r="C32" s="23">
        <f t="shared" si="103"/>
        <v>126728843</v>
      </c>
      <c r="D32" s="24">
        <f t="shared" si="103"/>
        <v>84950.62</v>
      </c>
      <c r="E32" s="24">
        <f t="shared" si="103"/>
        <v>2561.1399999999994</v>
      </c>
      <c r="F32" s="114">
        <f t="shared" si="103"/>
        <v>325</v>
      </c>
      <c r="G32" s="116">
        <f t="shared" si="103"/>
        <v>33761122.349999994</v>
      </c>
      <c r="H32" s="117">
        <f t="shared" si="103"/>
        <v>6425464.850000001</v>
      </c>
      <c r="I32" s="117">
        <f t="shared" si="103"/>
        <v>2060512.0000000002</v>
      </c>
      <c r="J32" s="117">
        <f t="shared" si="103"/>
        <v>12500</v>
      </c>
      <c r="K32" s="117">
        <f t="shared" si="103"/>
        <v>3696927.8000000003</v>
      </c>
      <c r="L32" s="117">
        <f t="shared" si="103"/>
        <v>1123817.2500000002</v>
      </c>
      <c r="M32" s="117">
        <f t="shared" si="103"/>
        <v>4820745.05</v>
      </c>
      <c r="N32" s="117">
        <f t="shared" si="103"/>
        <v>101357.84999999999</v>
      </c>
      <c r="O32" s="117">
        <f t="shared" si="103"/>
        <v>7921428.1499999985</v>
      </c>
      <c r="P32" s="117">
        <f t="shared" si="103"/>
        <v>86167.04999999999</v>
      </c>
      <c r="Q32" s="117">
        <f t="shared" si="103"/>
        <v>2936</v>
      </c>
      <c r="R32" s="117">
        <f t="shared" si="103"/>
        <v>2671</v>
      </c>
      <c r="S32" s="117">
        <f t="shared" si="103"/>
        <v>0</v>
      </c>
      <c r="T32" s="117">
        <f t="shared" si="103"/>
        <v>300000</v>
      </c>
      <c r="U32" s="117">
        <f t="shared" si="103"/>
        <v>0</v>
      </c>
      <c r="V32" s="117">
        <f t="shared" si="103"/>
        <v>21871.95</v>
      </c>
      <c r="W32" s="117">
        <f t="shared" si="103"/>
        <v>324542.95</v>
      </c>
      <c r="X32" s="117">
        <f t="shared" si="103"/>
        <v>4608127.18</v>
      </c>
      <c r="Y32" s="117">
        <f t="shared" si="103"/>
        <v>60124903.43000001</v>
      </c>
      <c r="Z32" s="117">
        <f t="shared" si="103"/>
        <v>16134580.850000005</v>
      </c>
      <c r="AA32" s="117">
        <f t="shared" si="103"/>
        <v>2955298.6500000004</v>
      </c>
      <c r="AB32" s="117">
        <f t="shared" si="103"/>
        <v>15381.550000000001</v>
      </c>
      <c r="AC32" s="117">
        <f t="shared" si="103"/>
        <v>452209.1999999999</v>
      </c>
      <c r="AD32" s="117">
        <f t="shared" si="103"/>
        <v>0</v>
      </c>
      <c r="AE32" s="117">
        <f t="shared" si="103"/>
        <v>19557470.25</v>
      </c>
      <c r="AF32" s="117">
        <f t="shared" si="103"/>
        <v>0</v>
      </c>
      <c r="AG32" s="117">
        <f t="shared" si="103"/>
        <v>385260.79999999993</v>
      </c>
      <c r="AH32" s="117">
        <f t="shared" si="103"/>
        <v>0</v>
      </c>
      <c r="AI32" s="117">
        <f t="shared" si="103"/>
        <v>828343.4900000001</v>
      </c>
      <c r="AJ32" s="117">
        <f t="shared" si="103"/>
        <v>15679872.449999997</v>
      </c>
      <c r="AK32" s="117">
        <f t="shared" si="103"/>
        <v>3361629.3000000007</v>
      </c>
      <c r="AL32" s="117">
        <f t="shared" si="103"/>
        <v>14171105.149999999</v>
      </c>
      <c r="AM32" s="117">
        <f t="shared" si="103"/>
        <v>1042.4</v>
      </c>
      <c r="AN32" s="117">
        <f t="shared" si="103"/>
        <v>0</v>
      </c>
      <c r="AO32" s="117">
        <f t="shared" si="103"/>
        <v>0</v>
      </c>
      <c r="AP32" s="117">
        <f t="shared" si="103"/>
        <v>0</v>
      </c>
      <c r="AQ32" s="117">
        <f t="shared" si="103"/>
        <v>3850</v>
      </c>
      <c r="AR32" s="117">
        <f t="shared" si="103"/>
        <v>0</v>
      </c>
      <c r="AS32" s="117">
        <f t="shared" si="103"/>
        <v>3850</v>
      </c>
      <c r="AT32" s="117">
        <f t="shared" si="103"/>
        <v>4849266.08</v>
      </c>
      <c r="AU32" s="117">
        <f t="shared" si="103"/>
        <v>58837839.92000001</v>
      </c>
      <c r="AV32" s="117">
        <f t="shared" si="103"/>
        <v>734939.24</v>
      </c>
      <c r="AW32" s="117">
        <f t="shared" si="103"/>
        <v>2022002.7000000002</v>
      </c>
      <c r="AX32" s="117">
        <f t="shared" si="103"/>
        <v>0.04999999768961061</v>
      </c>
      <c r="AY32" s="117">
        <f t="shared" si="103"/>
        <v>37538.9</v>
      </c>
      <c r="AZ32" s="117">
        <f t="shared" si="103"/>
        <v>2817117.0500000003</v>
      </c>
      <c r="BA32" s="117">
        <f t="shared" si="103"/>
        <v>0</v>
      </c>
      <c r="BB32" s="117">
        <f t="shared" si="103"/>
        <v>0</v>
      </c>
      <c r="BC32" s="117">
        <f t="shared" si="103"/>
        <v>0</v>
      </c>
      <c r="BD32" s="117">
        <f t="shared" si="103"/>
        <v>2351.8</v>
      </c>
      <c r="BE32" s="117">
        <f t="shared" si="103"/>
        <v>32667</v>
      </c>
      <c r="BF32" s="117">
        <f t="shared" si="103"/>
        <v>2852135.85</v>
      </c>
      <c r="BG32" s="117">
        <f t="shared" si="103"/>
        <v>41427.2</v>
      </c>
      <c r="BH32" s="117">
        <f t="shared" si="103"/>
        <v>0</v>
      </c>
      <c r="BI32" s="117">
        <f t="shared" si="103"/>
        <v>3460</v>
      </c>
      <c r="BJ32" s="117">
        <f t="shared" si="103"/>
        <v>0</v>
      </c>
      <c r="BK32" s="117">
        <f t="shared" si="103"/>
        <v>3000</v>
      </c>
      <c r="BL32" s="117">
        <f t="shared" si="103"/>
        <v>400000</v>
      </c>
      <c r="BM32" s="117">
        <f t="shared" si="103"/>
        <v>416583</v>
      </c>
      <c r="BN32" s="117">
        <f aca="true" t="shared" si="104" ref="BN32:DL32">SUM(BN3:BN31)</f>
        <v>0</v>
      </c>
      <c r="BO32" s="117">
        <f t="shared" si="104"/>
        <v>864470.2</v>
      </c>
      <c r="BP32" s="117">
        <f t="shared" si="104"/>
        <v>864470.2</v>
      </c>
      <c r="BQ32" s="117">
        <f t="shared" si="104"/>
        <v>0</v>
      </c>
      <c r="BR32" s="117">
        <f t="shared" si="104"/>
        <v>2852135.85</v>
      </c>
      <c r="BS32" s="117">
        <f t="shared" si="104"/>
        <v>0</v>
      </c>
      <c r="BT32" s="117">
        <f t="shared" si="104"/>
        <v>23822930.18</v>
      </c>
      <c r="BU32" s="117">
        <f t="shared" si="104"/>
        <v>36405749.849999994</v>
      </c>
      <c r="BV32" s="117">
        <f t="shared" si="104"/>
        <v>0</v>
      </c>
      <c r="BW32" s="117">
        <f t="shared" si="104"/>
        <v>2623156.26</v>
      </c>
      <c r="BX32" s="117">
        <f t="shared" si="104"/>
        <v>62851836.29000001</v>
      </c>
      <c r="BY32" s="117">
        <f t="shared" si="104"/>
        <v>57924396.68</v>
      </c>
      <c r="BZ32" s="117">
        <f t="shared" si="104"/>
        <v>1172122.85</v>
      </c>
      <c r="CA32" s="117">
        <f t="shared" si="104"/>
        <v>3755316.76</v>
      </c>
      <c r="CB32" s="117">
        <f t="shared" si="104"/>
        <v>62851836.29000001</v>
      </c>
      <c r="CC32" s="117">
        <f t="shared" si="104"/>
        <v>0</v>
      </c>
      <c r="CD32" s="117">
        <f t="shared" si="104"/>
        <v>3533681.5900000003</v>
      </c>
      <c r="CE32" s="117">
        <f t="shared" si="104"/>
        <v>3854374.5400000005</v>
      </c>
      <c r="CF32" s="117">
        <f t="shared" si="104"/>
        <v>1987665.6500000001</v>
      </c>
      <c r="CG32" s="117">
        <f t="shared" si="104"/>
        <v>53983681.44</v>
      </c>
      <c r="CH32" s="117">
        <f t="shared" si="104"/>
        <v>1712790.1</v>
      </c>
      <c r="CI32" s="117">
        <f t="shared" si="104"/>
        <v>5409717.9</v>
      </c>
      <c r="CJ32" s="118">
        <f t="shared" si="104"/>
        <v>-325.35587573394207</v>
      </c>
      <c r="CK32" s="118">
        <f t="shared" si="104"/>
        <v>-732.236877406436</v>
      </c>
      <c r="CL32" s="118">
        <f t="shared" si="104"/>
        <v>0.7000136620400279</v>
      </c>
      <c r="CM32" s="118">
        <f t="shared" si="104"/>
        <v>0.8391726523679973</v>
      </c>
      <c r="CN32" s="118">
        <f t="shared" si="104"/>
        <v>0.8095284890183453</v>
      </c>
      <c r="CO32" s="118">
        <f t="shared" si="104"/>
        <v>3.2285888274285215</v>
      </c>
      <c r="CP32" s="118">
        <f t="shared" si="104"/>
        <v>4.582447257402033</v>
      </c>
      <c r="CQ32" s="118">
        <f t="shared" si="104"/>
        <v>4.18421022179326</v>
      </c>
      <c r="CR32" s="117">
        <f t="shared" si="104"/>
        <v>-214.44075131513816</v>
      </c>
      <c r="CS32" s="117">
        <f t="shared" si="104"/>
        <v>-34101466.5</v>
      </c>
      <c r="CT32" s="117">
        <f t="shared" si="104"/>
        <v>55282286.43000001</v>
      </c>
      <c r="CU32" s="117">
        <f t="shared" si="104"/>
        <v>58837839.92000001</v>
      </c>
      <c r="CV32" s="117">
        <f t="shared" si="104"/>
        <v>3555553.4900000035</v>
      </c>
      <c r="CW32" s="117">
        <f t="shared" si="104"/>
        <v>-21871.95</v>
      </c>
      <c r="CX32" s="117">
        <f t="shared" si="104"/>
        <v>3533681.5400000033</v>
      </c>
      <c r="CY32" s="117">
        <f t="shared" si="104"/>
        <v>-1287063.5099999974</v>
      </c>
      <c r="CZ32" s="117">
        <f t="shared" si="104"/>
        <v>1987665.6500000001</v>
      </c>
      <c r="DA32" s="117">
        <f t="shared" si="104"/>
        <v>4820745.05</v>
      </c>
      <c r="DB32" s="117">
        <f t="shared" si="104"/>
        <v>1546015.8900000027</v>
      </c>
      <c r="DC32" s="117">
        <f t="shared" si="104"/>
        <v>-5685215.25</v>
      </c>
      <c r="DD32" s="117">
        <f t="shared" si="104"/>
        <v>-1287063.5099999974</v>
      </c>
      <c r="DE32" s="117">
        <f t="shared" si="104"/>
        <v>19105261.049999997</v>
      </c>
      <c r="DF32" s="117">
        <f t="shared" si="104"/>
        <v>-26736.735758099174</v>
      </c>
      <c r="DG32" s="117">
        <f t="shared" si="104"/>
        <v>1221.7294176932892</v>
      </c>
      <c r="DH32" s="117">
        <f t="shared" si="104"/>
        <v>11901.316984333582</v>
      </c>
      <c r="DI32" s="117">
        <f t="shared" si="104"/>
        <v>983.568978118593</v>
      </c>
      <c r="DJ32" s="117">
        <f t="shared" si="104"/>
        <v>57.926559650378124</v>
      </c>
      <c r="DK32" s="117">
        <f t="shared" si="104"/>
        <v>-35273589.35000001</v>
      </c>
      <c r="DL32" s="117">
        <f t="shared" si="104"/>
        <v>617</v>
      </c>
      <c r="DM32" s="24">
        <f>SUM(DM3:DM31)</f>
        <v>2763</v>
      </c>
      <c r="DN32" s="25">
        <f>SUM(DN3:DN31)</f>
        <v>0</v>
      </c>
    </row>
    <row r="33" spans="1:118" ht="12.75">
      <c r="A33" s="29" t="s">
        <v>47</v>
      </c>
      <c r="B33" s="23">
        <f aca="true" t="shared" si="105" ref="B33:BM33">MIN(B3:B31)</f>
        <v>172</v>
      </c>
      <c r="C33" s="23">
        <f t="shared" si="105"/>
        <v>392011</v>
      </c>
      <c r="D33" s="24">
        <f t="shared" si="105"/>
        <v>1840.87</v>
      </c>
      <c r="E33" s="24">
        <f t="shared" si="105"/>
        <v>55.5</v>
      </c>
      <c r="F33" s="114">
        <f t="shared" si="105"/>
        <v>8</v>
      </c>
      <c r="G33" s="120">
        <f t="shared" si="105"/>
        <v>0</v>
      </c>
      <c r="H33" s="23">
        <f t="shared" si="105"/>
        <v>0</v>
      </c>
      <c r="I33" s="23">
        <f t="shared" si="105"/>
        <v>0</v>
      </c>
      <c r="J33" s="23">
        <f t="shared" si="105"/>
        <v>0</v>
      </c>
      <c r="K33" s="23">
        <f t="shared" si="105"/>
        <v>0</v>
      </c>
      <c r="L33" s="23">
        <f t="shared" si="105"/>
        <v>0</v>
      </c>
      <c r="M33" s="23">
        <f t="shared" si="105"/>
        <v>0</v>
      </c>
      <c r="N33" s="23">
        <f t="shared" si="105"/>
        <v>0</v>
      </c>
      <c r="O33" s="23">
        <f t="shared" si="105"/>
        <v>0</v>
      </c>
      <c r="P33" s="23">
        <f t="shared" si="105"/>
        <v>0</v>
      </c>
      <c r="Q33" s="23">
        <f t="shared" si="105"/>
        <v>0</v>
      </c>
      <c r="R33" s="23">
        <f t="shared" si="105"/>
        <v>0</v>
      </c>
      <c r="S33" s="23">
        <f t="shared" si="105"/>
        <v>0</v>
      </c>
      <c r="T33" s="23">
        <f t="shared" si="105"/>
        <v>0</v>
      </c>
      <c r="U33" s="23">
        <f t="shared" si="105"/>
        <v>0</v>
      </c>
      <c r="V33" s="23">
        <f t="shared" si="105"/>
        <v>0</v>
      </c>
      <c r="W33" s="23">
        <f t="shared" si="105"/>
        <v>0</v>
      </c>
      <c r="X33" s="23">
        <f t="shared" si="105"/>
        <v>0</v>
      </c>
      <c r="Y33" s="23">
        <f t="shared" si="105"/>
        <v>0</v>
      </c>
      <c r="Z33" s="23">
        <f t="shared" si="105"/>
        <v>0</v>
      </c>
      <c r="AA33" s="23">
        <f t="shared" si="105"/>
        <v>0</v>
      </c>
      <c r="AB33" s="23">
        <f t="shared" si="105"/>
        <v>0</v>
      </c>
      <c r="AC33" s="23">
        <f>MIN(AC3:AC31)</f>
        <v>0</v>
      </c>
      <c r="AD33" s="23">
        <f t="shared" si="105"/>
        <v>0</v>
      </c>
      <c r="AE33" s="23">
        <f t="shared" si="105"/>
        <v>0</v>
      </c>
      <c r="AF33" s="23">
        <f t="shared" si="105"/>
        <v>0</v>
      </c>
      <c r="AG33" s="23">
        <f t="shared" si="105"/>
        <v>0</v>
      </c>
      <c r="AH33" s="23">
        <f t="shared" si="105"/>
        <v>0</v>
      </c>
      <c r="AI33" s="23">
        <f t="shared" si="105"/>
        <v>0</v>
      </c>
      <c r="AJ33" s="23">
        <f t="shared" si="105"/>
        <v>0</v>
      </c>
      <c r="AK33" s="23">
        <f t="shared" si="105"/>
        <v>0</v>
      </c>
      <c r="AL33" s="23">
        <f t="shared" si="105"/>
        <v>0</v>
      </c>
      <c r="AM33" s="23">
        <f t="shared" si="105"/>
        <v>0</v>
      </c>
      <c r="AN33" s="23">
        <f t="shared" si="105"/>
        <v>0</v>
      </c>
      <c r="AO33" s="23">
        <f t="shared" si="105"/>
        <v>0</v>
      </c>
      <c r="AP33" s="23">
        <f t="shared" si="105"/>
        <v>0</v>
      </c>
      <c r="AQ33" s="23">
        <f t="shared" si="105"/>
        <v>0</v>
      </c>
      <c r="AR33" s="23">
        <f t="shared" si="105"/>
        <v>0</v>
      </c>
      <c r="AS33" s="23">
        <f t="shared" si="105"/>
        <v>0</v>
      </c>
      <c r="AT33" s="23">
        <f t="shared" si="105"/>
        <v>0</v>
      </c>
      <c r="AU33" s="23">
        <f t="shared" si="105"/>
        <v>0</v>
      </c>
      <c r="AV33" s="23">
        <f t="shared" si="105"/>
        <v>0</v>
      </c>
      <c r="AW33" s="23">
        <f t="shared" si="105"/>
        <v>0</v>
      </c>
      <c r="AX33" s="23">
        <f t="shared" si="105"/>
        <v>-2.2628228180110455E-09</v>
      </c>
      <c r="AY33" s="23">
        <f t="shared" si="105"/>
        <v>0</v>
      </c>
      <c r="AZ33" s="23">
        <f t="shared" si="105"/>
        <v>0</v>
      </c>
      <c r="BA33" s="23">
        <f t="shared" si="105"/>
        <v>0</v>
      </c>
      <c r="BB33" s="23">
        <f t="shared" si="105"/>
        <v>0</v>
      </c>
      <c r="BC33" s="23">
        <f t="shared" si="105"/>
        <v>0</v>
      </c>
      <c r="BD33" s="23">
        <f t="shared" si="105"/>
        <v>0</v>
      </c>
      <c r="BE33" s="23">
        <f t="shared" si="105"/>
        <v>0</v>
      </c>
      <c r="BF33" s="23">
        <f t="shared" si="105"/>
        <v>0</v>
      </c>
      <c r="BG33" s="23">
        <f t="shared" si="105"/>
        <v>0</v>
      </c>
      <c r="BH33" s="23">
        <f t="shared" si="105"/>
        <v>0</v>
      </c>
      <c r="BI33" s="23">
        <f t="shared" si="105"/>
        <v>0</v>
      </c>
      <c r="BJ33" s="23">
        <f t="shared" si="105"/>
        <v>0</v>
      </c>
      <c r="BK33" s="23">
        <f t="shared" si="105"/>
        <v>0</v>
      </c>
      <c r="BL33" s="23">
        <f t="shared" si="105"/>
        <v>0</v>
      </c>
      <c r="BM33" s="23">
        <f t="shared" si="105"/>
        <v>0</v>
      </c>
      <c r="BN33" s="23">
        <f aca="true" t="shared" si="106" ref="BN33:DL33">MIN(BN3:BN31)</f>
        <v>0</v>
      </c>
      <c r="BO33" s="23">
        <f t="shared" si="106"/>
        <v>0</v>
      </c>
      <c r="BP33" s="23">
        <f t="shared" si="106"/>
        <v>0</v>
      </c>
      <c r="BQ33" s="23">
        <f t="shared" si="106"/>
        <v>0</v>
      </c>
      <c r="BR33" s="23">
        <f t="shared" si="106"/>
        <v>0</v>
      </c>
      <c r="BS33" s="23">
        <f t="shared" si="106"/>
        <v>0</v>
      </c>
      <c r="BT33" s="23">
        <f t="shared" si="106"/>
        <v>0</v>
      </c>
      <c r="BU33" s="23">
        <f t="shared" si="106"/>
        <v>0</v>
      </c>
      <c r="BV33" s="23">
        <f t="shared" si="106"/>
        <v>0</v>
      </c>
      <c r="BW33" s="23">
        <f t="shared" si="106"/>
        <v>0</v>
      </c>
      <c r="BX33" s="23">
        <f t="shared" si="106"/>
        <v>0</v>
      </c>
      <c r="BY33" s="23">
        <f t="shared" si="106"/>
        <v>0</v>
      </c>
      <c r="BZ33" s="23">
        <f t="shared" si="106"/>
        <v>0</v>
      </c>
      <c r="CA33" s="23">
        <f t="shared" si="106"/>
        <v>0</v>
      </c>
      <c r="CB33" s="23">
        <f t="shared" si="106"/>
        <v>0</v>
      </c>
      <c r="CC33" s="23">
        <f t="shared" si="106"/>
        <v>0</v>
      </c>
      <c r="CD33" s="23">
        <f t="shared" si="106"/>
        <v>-175804.8</v>
      </c>
      <c r="CE33" s="23">
        <f t="shared" si="106"/>
        <v>-175804.8</v>
      </c>
      <c r="CF33" s="23">
        <f t="shared" si="106"/>
        <v>-491.5</v>
      </c>
      <c r="CG33" s="23">
        <f t="shared" si="106"/>
        <v>0</v>
      </c>
      <c r="CH33" s="23">
        <f t="shared" si="106"/>
        <v>-1159.9500000000007</v>
      </c>
      <c r="CI33" s="23">
        <f t="shared" si="106"/>
        <v>0</v>
      </c>
      <c r="CJ33" s="89">
        <f t="shared" si="106"/>
        <v>-368.90996948118004</v>
      </c>
      <c r="CK33" s="89">
        <f t="shared" si="106"/>
        <v>-775.8275686673448</v>
      </c>
      <c r="CL33" s="89">
        <f t="shared" si="106"/>
        <v>-0.17951904131112517</v>
      </c>
      <c r="CM33" s="89">
        <f t="shared" si="106"/>
        <v>-0.17951904131112517</v>
      </c>
      <c r="CN33" s="89">
        <f t="shared" si="106"/>
        <v>-0.0003606262594676638</v>
      </c>
      <c r="CO33" s="89">
        <f t="shared" si="106"/>
        <v>0.003293780644071852</v>
      </c>
      <c r="CP33" s="89">
        <f t="shared" si="106"/>
        <v>0</v>
      </c>
      <c r="CQ33" s="89">
        <f t="shared" si="106"/>
        <v>0</v>
      </c>
      <c r="CR33" s="23">
        <f t="shared" si="106"/>
        <v>-74.33085998306206</v>
      </c>
      <c r="CS33" s="23">
        <f t="shared" si="106"/>
        <v>-6185460.720000001</v>
      </c>
      <c r="CT33" s="23">
        <f t="shared" si="106"/>
        <v>0</v>
      </c>
      <c r="CU33" s="23">
        <f t="shared" si="106"/>
        <v>0</v>
      </c>
      <c r="CV33" s="23">
        <f t="shared" si="106"/>
        <v>-175804.80000000005</v>
      </c>
      <c r="CW33" s="23">
        <f t="shared" si="106"/>
        <v>-21871.95</v>
      </c>
      <c r="CX33" s="23">
        <f t="shared" si="106"/>
        <v>-175804.80000000005</v>
      </c>
      <c r="CY33" s="23">
        <f t="shared" si="106"/>
        <v>-341592.75000000006</v>
      </c>
      <c r="CZ33" s="23">
        <f t="shared" si="106"/>
        <v>-491.5</v>
      </c>
      <c r="DA33" s="23">
        <f t="shared" si="106"/>
        <v>0</v>
      </c>
      <c r="DB33" s="23">
        <f t="shared" si="106"/>
        <v>-175804.80000000005</v>
      </c>
      <c r="DC33" s="23">
        <f t="shared" si="106"/>
        <v>-1540101.2</v>
      </c>
      <c r="DD33" s="23">
        <f t="shared" si="106"/>
        <v>-341592.75000000006</v>
      </c>
      <c r="DE33" s="23">
        <f t="shared" si="106"/>
        <v>0</v>
      </c>
      <c r="DF33" s="23">
        <f t="shared" si="106"/>
        <v>-2991.0737078651687</v>
      </c>
      <c r="DG33" s="23">
        <f t="shared" si="106"/>
        <v>-0.4154548710601722</v>
      </c>
      <c r="DH33" s="23">
        <f t="shared" si="106"/>
        <v>0</v>
      </c>
      <c r="DI33" s="23">
        <f t="shared" si="106"/>
        <v>-0.17603868194842406</v>
      </c>
      <c r="DJ33" s="23">
        <f t="shared" si="106"/>
        <v>-272.3553082191782</v>
      </c>
      <c r="DK33" s="23">
        <f t="shared" si="106"/>
        <v>-6185460.72</v>
      </c>
      <c r="DL33" s="23">
        <f t="shared" si="106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07" ref="B34:BM34">MAX(B3:B31)</f>
        <v>5737</v>
      </c>
      <c r="C34" s="23">
        <f t="shared" si="107"/>
        <v>22294501</v>
      </c>
      <c r="D34" s="24">
        <f t="shared" si="107"/>
        <v>6701.8</v>
      </c>
      <c r="E34" s="24">
        <f t="shared" si="107"/>
        <v>202.05</v>
      </c>
      <c r="F34" s="114">
        <f t="shared" si="107"/>
        <v>15</v>
      </c>
      <c r="G34" s="120">
        <f t="shared" si="107"/>
        <v>4943449.35</v>
      </c>
      <c r="H34" s="23">
        <f t="shared" si="107"/>
        <v>928155.93</v>
      </c>
      <c r="I34" s="23">
        <f t="shared" si="107"/>
        <v>410445.0920554855</v>
      </c>
      <c r="J34" s="23">
        <f t="shared" si="107"/>
        <v>11303.988020176545</v>
      </c>
      <c r="K34" s="23">
        <f t="shared" si="107"/>
        <v>595486.8543505674</v>
      </c>
      <c r="L34" s="23">
        <f t="shared" si="107"/>
        <v>816794</v>
      </c>
      <c r="M34" s="23">
        <f t="shared" si="107"/>
        <v>1227254</v>
      </c>
      <c r="N34" s="23">
        <f t="shared" si="107"/>
        <v>99308.7</v>
      </c>
      <c r="O34" s="23">
        <f t="shared" si="107"/>
        <v>1670319.9085040982</v>
      </c>
      <c r="P34" s="23">
        <f t="shared" si="107"/>
        <v>29532.5</v>
      </c>
      <c r="Q34" s="23">
        <f t="shared" si="107"/>
        <v>2936</v>
      </c>
      <c r="R34" s="23">
        <f t="shared" si="107"/>
        <v>2671</v>
      </c>
      <c r="S34" s="23">
        <f t="shared" si="107"/>
        <v>0</v>
      </c>
      <c r="T34" s="23">
        <f t="shared" si="107"/>
        <v>200000</v>
      </c>
      <c r="U34" s="23">
        <f t="shared" si="107"/>
        <v>0</v>
      </c>
      <c r="V34" s="23">
        <f t="shared" si="107"/>
        <v>21871.95</v>
      </c>
      <c r="W34" s="23">
        <f t="shared" si="107"/>
        <v>200000</v>
      </c>
      <c r="X34" s="23">
        <f t="shared" si="107"/>
        <v>1595783.73</v>
      </c>
      <c r="Y34" s="23">
        <f t="shared" si="107"/>
        <v>8423040.3</v>
      </c>
      <c r="Z34" s="23">
        <f t="shared" si="107"/>
        <v>3604148.845168663</v>
      </c>
      <c r="AA34" s="23">
        <f t="shared" si="107"/>
        <v>1393119</v>
      </c>
      <c r="AB34" s="23">
        <f t="shared" si="107"/>
        <v>13926.6</v>
      </c>
      <c r="AC34" s="23">
        <f>MAX(AC3:AC31)</f>
        <v>244945.66424968472</v>
      </c>
      <c r="AD34" s="23">
        <f t="shared" si="107"/>
        <v>0</v>
      </c>
      <c r="AE34" s="23">
        <f t="shared" si="107"/>
        <v>4179576.456265763</v>
      </c>
      <c r="AF34" s="23">
        <f t="shared" si="107"/>
        <v>0</v>
      </c>
      <c r="AG34" s="23">
        <f t="shared" si="107"/>
        <v>229144.1811238966</v>
      </c>
      <c r="AH34" s="23">
        <f t="shared" si="107"/>
        <v>0</v>
      </c>
      <c r="AI34" s="23">
        <f t="shared" si="107"/>
        <v>156346.94139029004</v>
      </c>
      <c r="AJ34" s="23">
        <f t="shared" si="107"/>
        <v>2249937.35</v>
      </c>
      <c r="AK34" s="23">
        <f t="shared" si="107"/>
        <v>681327.55</v>
      </c>
      <c r="AL34" s="23">
        <f t="shared" si="107"/>
        <v>2208880.15</v>
      </c>
      <c r="AM34" s="23">
        <f t="shared" si="107"/>
        <v>1042.4</v>
      </c>
      <c r="AN34" s="23">
        <f t="shared" si="107"/>
        <v>0</v>
      </c>
      <c r="AO34" s="23">
        <f t="shared" si="107"/>
        <v>0</v>
      </c>
      <c r="AP34" s="23">
        <f t="shared" si="107"/>
        <v>0</v>
      </c>
      <c r="AQ34" s="23">
        <f t="shared" si="107"/>
        <v>3850</v>
      </c>
      <c r="AR34" s="23">
        <f t="shared" si="107"/>
        <v>0</v>
      </c>
      <c r="AS34" s="23">
        <f t="shared" si="107"/>
        <v>3850</v>
      </c>
      <c r="AT34" s="23">
        <f t="shared" si="107"/>
        <v>1595783.73</v>
      </c>
      <c r="AU34" s="23">
        <f t="shared" si="107"/>
        <v>8602286.5</v>
      </c>
      <c r="AV34" s="23">
        <f t="shared" si="107"/>
        <v>422146.75</v>
      </c>
      <c r="AW34" s="23">
        <f t="shared" si="107"/>
        <v>341592.75</v>
      </c>
      <c r="AX34" s="23">
        <f t="shared" si="107"/>
        <v>0.03150095618912019</v>
      </c>
      <c r="AY34" s="23">
        <f t="shared" si="107"/>
        <v>37538.9</v>
      </c>
      <c r="AZ34" s="23">
        <f t="shared" si="107"/>
        <v>1756289.4</v>
      </c>
      <c r="BA34" s="23">
        <f t="shared" si="107"/>
        <v>0</v>
      </c>
      <c r="BB34" s="23">
        <f t="shared" si="107"/>
        <v>0</v>
      </c>
      <c r="BC34" s="23">
        <f t="shared" si="107"/>
        <v>0</v>
      </c>
      <c r="BD34" s="23">
        <f t="shared" si="107"/>
        <v>2351.8</v>
      </c>
      <c r="BE34" s="23">
        <f t="shared" si="107"/>
        <v>32667</v>
      </c>
      <c r="BF34" s="23">
        <f t="shared" si="107"/>
        <v>1758641.2</v>
      </c>
      <c r="BG34" s="23">
        <f t="shared" si="107"/>
        <v>41427.2</v>
      </c>
      <c r="BH34" s="23">
        <f t="shared" si="107"/>
        <v>0</v>
      </c>
      <c r="BI34" s="23">
        <f t="shared" si="107"/>
        <v>3460</v>
      </c>
      <c r="BJ34" s="23">
        <f t="shared" si="107"/>
        <v>0</v>
      </c>
      <c r="BK34" s="23">
        <f t="shared" si="107"/>
        <v>3000</v>
      </c>
      <c r="BL34" s="23">
        <f t="shared" si="107"/>
        <v>220000</v>
      </c>
      <c r="BM34" s="23">
        <f t="shared" si="107"/>
        <v>264960</v>
      </c>
      <c r="BN34" s="23">
        <f aca="true" t="shared" si="108" ref="BN34:DL34">MAX(BN3:BN31)</f>
        <v>0</v>
      </c>
      <c r="BO34" s="23">
        <f t="shared" si="108"/>
        <v>312847.2</v>
      </c>
      <c r="BP34" s="23">
        <f t="shared" si="108"/>
        <v>312847.2</v>
      </c>
      <c r="BQ34" s="23">
        <f t="shared" si="108"/>
        <v>0</v>
      </c>
      <c r="BR34" s="23">
        <f t="shared" si="108"/>
        <v>1758641.2</v>
      </c>
      <c r="BS34" s="23">
        <f t="shared" si="108"/>
        <v>0</v>
      </c>
      <c r="BT34" s="23">
        <f t="shared" si="108"/>
        <v>5891451.181210593</v>
      </c>
      <c r="BU34" s="23">
        <f t="shared" si="108"/>
        <v>6313571.212957125</v>
      </c>
      <c r="BV34" s="23">
        <f t="shared" si="108"/>
        <v>0</v>
      </c>
      <c r="BW34" s="23">
        <f t="shared" si="108"/>
        <v>880659.42</v>
      </c>
      <c r="BX34" s="23">
        <f t="shared" si="108"/>
        <v>12205022.394167718</v>
      </c>
      <c r="BY34" s="23">
        <f t="shared" si="108"/>
        <v>11552465.050283732</v>
      </c>
      <c r="BZ34" s="23">
        <f t="shared" si="108"/>
        <v>727451.85</v>
      </c>
      <c r="CA34" s="23">
        <f t="shared" si="108"/>
        <v>726247.42</v>
      </c>
      <c r="CB34" s="23">
        <f t="shared" si="108"/>
        <v>12205022.394167718</v>
      </c>
      <c r="CC34" s="23">
        <f t="shared" si="108"/>
        <v>0</v>
      </c>
      <c r="CD34" s="23">
        <f t="shared" si="108"/>
        <v>1406500.2</v>
      </c>
      <c r="CE34" s="23">
        <f t="shared" si="108"/>
        <v>1406500.2</v>
      </c>
      <c r="CF34" s="23">
        <f t="shared" si="108"/>
        <v>1445794</v>
      </c>
      <c r="CG34" s="23">
        <f t="shared" si="108"/>
        <v>7701433.073491491</v>
      </c>
      <c r="CH34" s="23">
        <f t="shared" si="108"/>
        <v>329587.9</v>
      </c>
      <c r="CI34" s="23">
        <f t="shared" si="108"/>
        <v>776787.7652821564</v>
      </c>
      <c r="CJ34" s="89">
        <f t="shared" si="108"/>
        <v>19.113648979988188</v>
      </c>
      <c r="CK34" s="89">
        <f t="shared" si="108"/>
        <v>19.113648979988188</v>
      </c>
      <c r="CL34" s="89">
        <f t="shared" si="108"/>
        <v>0.19377241582477167</v>
      </c>
      <c r="CM34" s="89">
        <f t="shared" si="108"/>
        <v>0.19377241582477167</v>
      </c>
      <c r="CN34" s="89">
        <f t="shared" si="108"/>
        <v>0.0934460155223046</v>
      </c>
      <c r="CO34" s="89">
        <f t="shared" si="108"/>
        <v>0.44079976752454225</v>
      </c>
      <c r="CP34" s="89">
        <f t="shared" si="108"/>
        <v>1</v>
      </c>
      <c r="CQ34" s="89">
        <f t="shared" si="108"/>
        <v>1</v>
      </c>
      <c r="CR34" s="23">
        <f t="shared" si="108"/>
        <v>15.342223306058406</v>
      </c>
      <c r="CS34" s="23">
        <f t="shared" si="108"/>
        <v>152936</v>
      </c>
      <c r="CT34" s="23">
        <f t="shared" si="108"/>
        <v>8042856.059999999</v>
      </c>
      <c r="CU34" s="23">
        <f t="shared" si="108"/>
        <v>8602286.5</v>
      </c>
      <c r="CV34" s="23">
        <f t="shared" si="108"/>
        <v>1406500.1999999993</v>
      </c>
      <c r="CW34" s="23">
        <f t="shared" si="108"/>
        <v>0</v>
      </c>
      <c r="CX34" s="23">
        <f t="shared" si="108"/>
        <v>1406500.1999999993</v>
      </c>
      <c r="CY34" s="23">
        <f t="shared" si="108"/>
        <v>422146.7499999989</v>
      </c>
      <c r="CZ34" s="23">
        <f t="shared" si="108"/>
        <v>1445794</v>
      </c>
      <c r="DA34" s="23">
        <f t="shared" si="108"/>
        <v>1227254</v>
      </c>
      <c r="DB34" s="23">
        <f t="shared" si="108"/>
        <v>782255.7999999989</v>
      </c>
      <c r="DC34" s="23">
        <f t="shared" si="108"/>
        <v>0</v>
      </c>
      <c r="DD34" s="23">
        <f t="shared" si="108"/>
        <v>422146.7499999989</v>
      </c>
      <c r="DE34" s="23">
        <f t="shared" si="108"/>
        <v>3934630.7920160783</v>
      </c>
      <c r="DF34" s="23">
        <f t="shared" si="108"/>
        <v>196.924561403509</v>
      </c>
      <c r="DG34" s="23">
        <f t="shared" si="108"/>
        <v>129.54337078651685</v>
      </c>
      <c r="DH34" s="23">
        <f t="shared" si="108"/>
        <v>1110.041095890411</v>
      </c>
      <c r="DI34" s="23">
        <f t="shared" si="108"/>
        <v>368.26133469179825</v>
      </c>
      <c r="DJ34" s="23">
        <f t="shared" si="108"/>
        <v>285.80774570697804</v>
      </c>
      <c r="DK34" s="23">
        <f t="shared" si="108"/>
        <v>0</v>
      </c>
      <c r="DL34" s="23">
        <f t="shared" si="108"/>
        <v>91</v>
      </c>
      <c r="DM34" s="24">
        <f>MAX(DM3:DM31)</f>
        <v>509</v>
      </c>
      <c r="DN34" s="25">
        <f>MAX(DN3:DN31)</f>
        <v>0</v>
      </c>
    </row>
    <row r="35" spans="1:118" ht="13.5" thickBot="1">
      <c r="A35" s="30" t="s">
        <v>49</v>
      </c>
      <c r="B35" s="26">
        <f aca="true" t="shared" si="109" ref="B35:BM35">MEDIAN(B3:B31)</f>
        <v>607</v>
      </c>
      <c r="C35" s="26">
        <f t="shared" si="109"/>
        <v>1416528</v>
      </c>
      <c r="D35" s="27">
        <f t="shared" si="109"/>
        <v>2722.5</v>
      </c>
      <c r="E35" s="27">
        <f t="shared" si="109"/>
        <v>82.08</v>
      </c>
      <c r="F35" s="115">
        <f t="shared" si="109"/>
        <v>10</v>
      </c>
      <c r="G35" s="121">
        <f t="shared" si="109"/>
        <v>428474.60233291297</v>
      </c>
      <c r="H35" s="26">
        <f t="shared" si="109"/>
        <v>97636.8</v>
      </c>
      <c r="I35" s="26">
        <f t="shared" si="109"/>
        <v>26572.661782502644</v>
      </c>
      <c r="J35" s="26">
        <f t="shared" si="109"/>
        <v>0</v>
      </c>
      <c r="K35" s="26">
        <f t="shared" si="109"/>
        <v>66771.45</v>
      </c>
      <c r="L35" s="26">
        <f t="shared" si="109"/>
        <v>0</v>
      </c>
      <c r="M35" s="26">
        <f t="shared" si="109"/>
        <v>67207.6</v>
      </c>
      <c r="N35" s="26">
        <f t="shared" si="109"/>
        <v>0</v>
      </c>
      <c r="O35" s="26">
        <f t="shared" si="109"/>
        <v>176727.24149590163</v>
      </c>
      <c r="P35" s="26">
        <f t="shared" si="109"/>
        <v>0</v>
      </c>
      <c r="Q35" s="26">
        <f t="shared" si="109"/>
        <v>0</v>
      </c>
      <c r="R35" s="26">
        <f t="shared" si="109"/>
        <v>0</v>
      </c>
      <c r="S35" s="26">
        <f t="shared" si="109"/>
        <v>0</v>
      </c>
      <c r="T35" s="26">
        <f t="shared" si="109"/>
        <v>0</v>
      </c>
      <c r="U35" s="26">
        <f t="shared" si="109"/>
        <v>0</v>
      </c>
      <c r="V35" s="26">
        <f t="shared" si="109"/>
        <v>0</v>
      </c>
      <c r="W35" s="26">
        <f t="shared" si="109"/>
        <v>0</v>
      </c>
      <c r="X35" s="26">
        <f t="shared" si="109"/>
        <v>0</v>
      </c>
      <c r="Y35" s="26">
        <f t="shared" si="109"/>
        <v>965995</v>
      </c>
      <c r="Z35" s="26">
        <f t="shared" si="109"/>
        <v>223865.65</v>
      </c>
      <c r="AA35" s="26">
        <f t="shared" si="109"/>
        <v>1123.5</v>
      </c>
      <c r="AB35" s="26">
        <f t="shared" si="109"/>
        <v>0</v>
      </c>
      <c r="AC35" s="26">
        <f>MEDIAN(AC3:AC31)</f>
        <v>2748.25</v>
      </c>
      <c r="AD35" s="26">
        <f t="shared" si="109"/>
        <v>0</v>
      </c>
      <c r="AE35" s="26">
        <f t="shared" si="109"/>
        <v>237354.9</v>
      </c>
      <c r="AF35" s="26">
        <f t="shared" si="109"/>
        <v>0</v>
      </c>
      <c r="AG35" s="26">
        <f t="shared" si="109"/>
        <v>941.2</v>
      </c>
      <c r="AH35" s="26">
        <f t="shared" si="109"/>
        <v>0</v>
      </c>
      <c r="AI35" s="26">
        <f t="shared" si="109"/>
        <v>15941.45</v>
      </c>
      <c r="AJ35" s="26">
        <f t="shared" si="109"/>
        <v>235952</v>
      </c>
      <c r="AK35" s="26">
        <f t="shared" si="109"/>
        <v>1000</v>
      </c>
      <c r="AL35" s="26">
        <f t="shared" si="109"/>
        <v>195052.1489955357</v>
      </c>
      <c r="AM35" s="26">
        <f t="shared" si="109"/>
        <v>0</v>
      </c>
      <c r="AN35" s="26">
        <f t="shared" si="109"/>
        <v>0</v>
      </c>
      <c r="AO35" s="26">
        <f t="shared" si="109"/>
        <v>0</v>
      </c>
      <c r="AP35" s="26">
        <f t="shared" si="109"/>
        <v>0</v>
      </c>
      <c r="AQ35" s="26">
        <f t="shared" si="109"/>
        <v>0</v>
      </c>
      <c r="AR35" s="26">
        <f t="shared" si="109"/>
        <v>0</v>
      </c>
      <c r="AS35" s="26">
        <f t="shared" si="109"/>
        <v>0</v>
      </c>
      <c r="AT35" s="26">
        <f t="shared" si="109"/>
        <v>0</v>
      </c>
      <c r="AU35" s="26">
        <f t="shared" si="109"/>
        <v>825580.1632298235</v>
      </c>
      <c r="AV35" s="26">
        <f t="shared" si="109"/>
        <v>0</v>
      </c>
      <c r="AW35" s="26">
        <f t="shared" si="109"/>
        <v>15527.75</v>
      </c>
      <c r="AX35" s="26">
        <f t="shared" si="109"/>
        <v>0</v>
      </c>
      <c r="AY35" s="26">
        <f t="shared" si="109"/>
        <v>0</v>
      </c>
      <c r="AZ35" s="26">
        <f t="shared" si="109"/>
        <v>0</v>
      </c>
      <c r="BA35" s="26">
        <f t="shared" si="109"/>
        <v>0</v>
      </c>
      <c r="BB35" s="26">
        <f t="shared" si="109"/>
        <v>0</v>
      </c>
      <c r="BC35" s="26">
        <f t="shared" si="109"/>
        <v>0</v>
      </c>
      <c r="BD35" s="26">
        <f t="shared" si="109"/>
        <v>0</v>
      </c>
      <c r="BE35" s="26">
        <f t="shared" si="109"/>
        <v>0</v>
      </c>
      <c r="BF35" s="26">
        <f t="shared" si="109"/>
        <v>0</v>
      </c>
      <c r="BG35" s="26">
        <f t="shared" si="109"/>
        <v>0</v>
      </c>
      <c r="BH35" s="26">
        <f t="shared" si="109"/>
        <v>0</v>
      </c>
      <c r="BI35" s="26">
        <f t="shared" si="109"/>
        <v>0</v>
      </c>
      <c r="BJ35" s="26">
        <f t="shared" si="109"/>
        <v>0</v>
      </c>
      <c r="BK35" s="26">
        <f t="shared" si="109"/>
        <v>0</v>
      </c>
      <c r="BL35" s="26">
        <f t="shared" si="109"/>
        <v>0</v>
      </c>
      <c r="BM35" s="26">
        <f t="shared" si="109"/>
        <v>0</v>
      </c>
      <c r="BN35" s="26">
        <f aca="true" t="shared" si="110" ref="BN35:DL35">MEDIAN(BN3:BN31)</f>
        <v>0</v>
      </c>
      <c r="BO35" s="26">
        <f t="shared" si="110"/>
        <v>0</v>
      </c>
      <c r="BP35" s="26">
        <f t="shared" si="110"/>
        <v>0</v>
      </c>
      <c r="BQ35" s="26">
        <f t="shared" si="110"/>
        <v>0</v>
      </c>
      <c r="BR35" s="26">
        <f t="shared" si="110"/>
        <v>0</v>
      </c>
      <c r="BS35" s="26">
        <f t="shared" si="110"/>
        <v>0</v>
      </c>
      <c r="BT35" s="26">
        <f t="shared" si="110"/>
        <v>384707.45</v>
      </c>
      <c r="BU35" s="26">
        <f t="shared" si="110"/>
        <v>625361.15</v>
      </c>
      <c r="BV35" s="26">
        <f t="shared" si="110"/>
        <v>0</v>
      </c>
      <c r="BW35" s="26">
        <f t="shared" si="110"/>
        <v>0</v>
      </c>
      <c r="BX35" s="26">
        <f t="shared" si="110"/>
        <v>1193627.25</v>
      </c>
      <c r="BY35" s="26">
        <f t="shared" si="110"/>
        <v>1033627.25</v>
      </c>
      <c r="BZ35" s="26">
        <f t="shared" si="110"/>
        <v>0</v>
      </c>
      <c r="CA35" s="26">
        <f t="shared" si="110"/>
        <v>20117.65</v>
      </c>
      <c r="CB35" s="26">
        <f t="shared" si="110"/>
        <v>1193627.25</v>
      </c>
      <c r="CC35" s="26">
        <f t="shared" si="110"/>
        <v>0</v>
      </c>
      <c r="CD35" s="26">
        <f t="shared" si="110"/>
        <v>14171.100000000006</v>
      </c>
      <c r="CE35" s="26">
        <f t="shared" si="110"/>
        <v>14171.100000000006</v>
      </c>
      <c r="CF35" s="26">
        <f t="shared" si="110"/>
        <v>0</v>
      </c>
      <c r="CG35" s="26">
        <f t="shared" si="110"/>
        <v>802808.9501918447</v>
      </c>
      <c r="CH35" s="26">
        <f t="shared" si="110"/>
        <v>20276.50284598214</v>
      </c>
      <c r="CI35" s="26">
        <f t="shared" si="110"/>
        <v>109431.65</v>
      </c>
      <c r="CJ35" s="90">
        <f t="shared" si="110"/>
        <v>1.3443752820889499</v>
      </c>
      <c r="CK35" s="90">
        <f t="shared" si="110"/>
        <v>1.3443752820889499</v>
      </c>
      <c r="CL35" s="90">
        <f t="shared" si="110"/>
        <v>0.035809064818567535</v>
      </c>
      <c r="CM35" s="90">
        <f t="shared" si="110"/>
        <v>0.035809064818567535</v>
      </c>
      <c r="CN35" s="90">
        <f t="shared" si="110"/>
        <v>0.023541191516112874</v>
      </c>
      <c r="CO35" s="90">
        <f t="shared" si="110"/>
        <v>0.11132778101831611</v>
      </c>
      <c r="CP35" s="90">
        <f t="shared" si="110"/>
        <v>0.10299364736428407</v>
      </c>
      <c r="CQ35" s="90">
        <f t="shared" si="110"/>
        <v>0.08535494457051489</v>
      </c>
      <c r="CR35" s="26">
        <f t="shared" si="110"/>
        <v>-4.356918350749205</v>
      </c>
      <c r="CS35" s="26">
        <f t="shared" si="110"/>
        <v>-690594.55</v>
      </c>
      <c r="CT35" s="26">
        <f t="shared" si="110"/>
        <v>760496.9500000001</v>
      </c>
      <c r="CU35" s="26">
        <f t="shared" si="110"/>
        <v>825580.1632298235</v>
      </c>
      <c r="CV35" s="26">
        <f t="shared" si="110"/>
        <v>14171.068499043817</v>
      </c>
      <c r="CW35" s="26">
        <f t="shared" si="110"/>
        <v>0</v>
      </c>
      <c r="CX35" s="26">
        <f t="shared" si="110"/>
        <v>14171.068499043817</v>
      </c>
      <c r="CY35" s="26">
        <f t="shared" si="110"/>
        <v>-2166.199999999997</v>
      </c>
      <c r="CZ35" s="26">
        <f t="shared" si="110"/>
        <v>0</v>
      </c>
      <c r="DA35" s="26">
        <f t="shared" si="110"/>
        <v>67207.6</v>
      </c>
      <c r="DB35" s="26">
        <f t="shared" si="110"/>
        <v>0</v>
      </c>
      <c r="DC35" s="26">
        <f t="shared" si="110"/>
        <v>-67207.6</v>
      </c>
      <c r="DD35" s="26">
        <f t="shared" si="110"/>
        <v>-2166.199999999997</v>
      </c>
      <c r="DE35" s="26">
        <f t="shared" si="110"/>
        <v>234972.25</v>
      </c>
      <c r="DF35" s="26">
        <f t="shared" si="110"/>
        <v>-704.6047799696511</v>
      </c>
      <c r="DG35" s="26">
        <f t="shared" si="110"/>
        <v>27.893611725663714</v>
      </c>
      <c r="DH35" s="26">
        <f t="shared" si="110"/>
        <v>408.89325842696627</v>
      </c>
      <c r="DI35" s="26">
        <f t="shared" si="110"/>
        <v>0</v>
      </c>
      <c r="DJ35" s="26">
        <f t="shared" si="110"/>
        <v>0</v>
      </c>
      <c r="DK35" s="26">
        <f t="shared" si="110"/>
        <v>-690594.55</v>
      </c>
      <c r="DL35" s="26">
        <f t="shared" si="110"/>
        <v>12</v>
      </c>
      <c r="DM35" s="27">
        <f>MEDIAN(DM3:DM31)</f>
        <v>35</v>
      </c>
      <c r="DN35" s="28">
        <f>MEDIAN(DN3:DN31)</f>
        <v>0</v>
      </c>
    </row>
    <row r="37" spans="1:119" s="9" customFormat="1" ht="12.75">
      <c r="A37" s="3" t="s">
        <v>249</v>
      </c>
      <c r="B37" s="16">
        <f>SUM(B3:B31)</f>
        <v>38207</v>
      </c>
      <c r="C37" s="16">
        <f>SUM(C3:C31)</f>
        <v>126728843</v>
      </c>
      <c r="D37" s="16">
        <f>D35</f>
        <v>2722.5</v>
      </c>
      <c r="E37" s="150">
        <f>E35</f>
        <v>82.08</v>
      </c>
      <c r="F37" s="16">
        <f>SUM(F3:F31)</f>
        <v>325</v>
      </c>
      <c r="G37" s="16">
        <f aca="true" t="shared" si="111" ref="G37:BN37">SUM(G3:G31)</f>
        <v>33761122.349999994</v>
      </c>
      <c r="H37" s="16">
        <f t="shared" si="111"/>
        <v>6425464.850000001</v>
      </c>
      <c r="I37" s="16">
        <f t="shared" si="111"/>
        <v>2060512.0000000002</v>
      </c>
      <c r="J37" s="16">
        <f t="shared" si="111"/>
        <v>12500</v>
      </c>
      <c r="K37" s="16">
        <f t="shared" si="111"/>
        <v>3696927.8000000003</v>
      </c>
      <c r="L37" s="16">
        <f t="shared" si="111"/>
        <v>1123817.2500000002</v>
      </c>
      <c r="M37" s="16">
        <f t="shared" si="111"/>
        <v>4820745.05</v>
      </c>
      <c r="N37" s="16">
        <f t="shared" si="111"/>
        <v>101357.84999999999</v>
      </c>
      <c r="O37" s="16">
        <f t="shared" si="111"/>
        <v>7921428.1499999985</v>
      </c>
      <c r="P37" s="16">
        <f t="shared" si="111"/>
        <v>86167.04999999999</v>
      </c>
      <c r="Q37" s="16">
        <f t="shared" si="111"/>
        <v>2936</v>
      </c>
      <c r="R37" s="16">
        <f t="shared" si="111"/>
        <v>2671</v>
      </c>
      <c r="S37" s="16">
        <f t="shared" si="111"/>
        <v>0</v>
      </c>
      <c r="T37" s="16">
        <f t="shared" si="111"/>
        <v>300000</v>
      </c>
      <c r="U37" s="16">
        <f t="shared" si="111"/>
        <v>0</v>
      </c>
      <c r="V37" s="16">
        <f t="shared" si="111"/>
        <v>21871.95</v>
      </c>
      <c r="W37" s="16">
        <f t="shared" si="111"/>
        <v>324542.95</v>
      </c>
      <c r="X37" s="16">
        <f t="shared" si="111"/>
        <v>4608127.18</v>
      </c>
      <c r="Y37" s="16">
        <f t="shared" si="111"/>
        <v>60124903.43000001</v>
      </c>
      <c r="Z37" s="16">
        <f t="shared" si="111"/>
        <v>16134580.850000005</v>
      </c>
      <c r="AA37" s="16">
        <f t="shared" si="111"/>
        <v>2955298.6500000004</v>
      </c>
      <c r="AB37" s="16">
        <f t="shared" si="111"/>
        <v>15381.550000000001</v>
      </c>
      <c r="AC37" s="16">
        <f t="shared" si="111"/>
        <v>452209.1999999999</v>
      </c>
      <c r="AD37" s="16">
        <f t="shared" si="111"/>
        <v>0</v>
      </c>
      <c r="AE37" s="16">
        <f t="shared" si="111"/>
        <v>19557470.25</v>
      </c>
      <c r="AF37" s="16">
        <f t="shared" si="111"/>
        <v>0</v>
      </c>
      <c r="AG37" s="16">
        <f t="shared" si="111"/>
        <v>385260.79999999993</v>
      </c>
      <c r="AH37" s="16">
        <f t="shared" si="111"/>
        <v>0</v>
      </c>
      <c r="AI37" s="16">
        <f t="shared" si="111"/>
        <v>828343.4900000001</v>
      </c>
      <c r="AJ37" s="16">
        <f t="shared" si="111"/>
        <v>15679872.449999997</v>
      </c>
      <c r="AK37" s="16">
        <f t="shared" si="111"/>
        <v>3361629.3000000007</v>
      </c>
      <c r="AL37" s="16">
        <f t="shared" si="111"/>
        <v>14171105.149999999</v>
      </c>
      <c r="AM37" s="16">
        <f t="shared" si="111"/>
        <v>1042.4</v>
      </c>
      <c r="AN37" s="16">
        <f t="shared" si="111"/>
        <v>0</v>
      </c>
      <c r="AO37" s="16">
        <f t="shared" si="111"/>
        <v>0</v>
      </c>
      <c r="AP37" s="16">
        <f t="shared" si="111"/>
        <v>0</v>
      </c>
      <c r="AQ37" s="16">
        <f t="shared" si="111"/>
        <v>3850</v>
      </c>
      <c r="AR37" s="16">
        <f t="shared" si="111"/>
        <v>0</v>
      </c>
      <c r="AS37" s="16">
        <f t="shared" si="111"/>
        <v>3850</v>
      </c>
      <c r="AT37" s="16">
        <f t="shared" si="111"/>
        <v>4849266.08</v>
      </c>
      <c r="AU37" s="16">
        <f t="shared" si="111"/>
        <v>58837839.92000001</v>
      </c>
      <c r="AV37" s="16">
        <f t="shared" si="111"/>
        <v>734939.24</v>
      </c>
      <c r="AW37" s="16">
        <f t="shared" si="111"/>
        <v>2022002.7000000002</v>
      </c>
      <c r="AX37" s="4">
        <f>Y37-AU37+AV37-AW37</f>
        <v>0.04999999771825969</v>
      </c>
      <c r="AY37" s="16">
        <f t="shared" si="111"/>
        <v>37538.9</v>
      </c>
      <c r="AZ37" s="16">
        <f t="shared" si="111"/>
        <v>2817117.0500000003</v>
      </c>
      <c r="BA37" s="16">
        <f t="shared" si="111"/>
        <v>0</v>
      </c>
      <c r="BB37" s="16">
        <f t="shared" si="111"/>
        <v>0</v>
      </c>
      <c r="BC37" s="16">
        <f t="shared" si="111"/>
        <v>0</v>
      </c>
      <c r="BD37" s="16">
        <f t="shared" si="111"/>
        <v>2351.8</v>
      </c>
      <c r="BE37" s="16">
        <f t="shared" si="111"/>
        <v>32667</v>
      </c>
      <c r="BF37" s="16">
        <f t="shared" si="111"/>
        <v>2852135.85</v>
      </c>
      <c r="BG37" s="16">
        <f t="shared" si="111"/>
        <v>41427.2</v>
      </c>
      <c r="BH37" s="16">
        <f t="shared" si="111"/>
        <v>0</v>
      </c>
      <c r="BI37" s="16">
        <f t="shared" si="111"/>
        <v>3460</v>
      </c>
      <c r="BJ37" s="16">
        <f t="shared" si="111"/>
        <v>0</v>
      </c>
      <c r="BK37" s="16">
        <f t="shared" si="111"/>
        <v>3000</v>
      </c>
      <c r="BL37" s="16">
        <f t="shared" si="111"/>
        <v>400000</v>
      </c>
      <c r="BM37" s="16">
        <f t="shared" si="111"/>
        <v>416583</v>
      </c>
      <c r="BN37" s="16">
        <f t="shared" si="111"/>
        <v>0</v>
      </c>
      <c r="BO37" s="16">
        <f>SUM(BO3:BO31)</f>
        <v>864470.2</v>
      </c>
      <c r="BP37" s="16">
        <f>SUM(BP3:BP31)</f>
        <v>864470.2</v>
      </c>
      <c r="BQ37" s="16">
        <f>SUM(BQ3:BQ31)</f>
        <v>0</v>
      </c>
      <c r="BR37" s="16">
        <f>SUM(BR3:BR31)</f>
        <v>2852135.85</v>
      </c>
      <c r="BS37" s="41">
        <f>+BF37-BO37+BP37+BQ37-BR37</f>
        <v>0</v>
      </c>
      <c r="BT37" s="16">
        <f aca="true" t="shared" si="112" ref="BT37:CB37">SUM(BT3:BT31)</f>
        <v>23822930.18</v>
      </c>
      <c r="BU37" s="16">
        <f t="shared" si="112"/>
        <v>36405749.849999994</v>
      </c>
      <c r="BV37" s="16">
        <f t="shared" si="112"/>
        <v>0</v>
      </c>
      <c r="BW37" s="16">
        <f t="shared" si="112"/>
        <v>2623156.26</v>
      </c>
      <c r="BX37" s="16">
        <f t="shared" si="112"/>
        <v>62851836.29000001</v>
      </c>
      <c r="BY37" s="16">
        <f t="shared" si="112"/>
        <v>57924396.68</v>
      </c>
      <c r="BZ37" s="16">
        <f t="shared" si="112"/>
        <v>1172122.85</v>
      </c>
      <c r="CA37" s="16">
        <f t="shared" si="112"/>
        <v>3755316.76</v>
      </c>
      <c r="CB37" s="16">
        <f t="shared" si="112"/>
        <v>62851836.29000001</v>
      </c>
      <c r="CC37" s="4">
        <f>BX37-CB37</f>
        <v>0</v>
      </c>
      <c r="CD37" s="70">
        <f>K37+L37+AV37-AW37</f>
        <v>3533681.590000001</v>
      </c>
      <c r="CE37" s="72">
        <f>CD37+W37-AS37</f>
        <v>3854374.540000001</v>
      </c>
      <c r="CF37" s="72">
        <f>BR37-BP37</f>
        <v>1987665.6500000001</v>
      </c>
      <c r="CG37" s="72">
        <f>AU37-AM37-AT37-AS37</f>
        <v>53983681.44000001</v>
      </c>
      <c r="CH37" s="72">
        <f>I37-AG37+AY37+AH37+BQ37</f>
        <v>1712790.1</v>
      </c>
      <c r="CI37" s="35">
        <f>CH37+K37</f>
        <v>5409717.9</v>
      </c>
      <c r="CJ37" s="57">
        <f>CD37/CF37</f>
        <v>1.7778048284931627</v>
      </c>
      <c r="CK37" s="140">
        <f>CE37/CF37</f>
        <v>1.9391463247352494</v>
      </c>
      <c r="CL37" s="62">
        <f>CD37/CG37*1</f>
        <v>0.06545832917911498</v>
      </c>
      <c r="CM37" s="62">
        <f>CE37/CG37</f>
        <v>0.07139888272132631</v>
      </c>
      <c r="CN37" s="62">
        <f>CH37/CG37</f>
        <v>0.03172792322257005</v>
      </c>
      <c r="CO37" s="62">
        <f>CI37/CG37</f>
        <v>0.10021024420152994</v>
      </c>
      <c r="CP37" s="62">
        <f>(K37+L37)/(BU37+K37+L37)</f>
        <v>0.11693317760079579</v>
      </c>
      <c r="CQ37" s="62">
        <f>(K37)/(BU37+K37+L37)</f>
        <v>0.08967358998060253</v>
      </c>
      <c r="CR37" s="71">
        <f>CS37/CE37</f>
        <v>-8.847470879153324</v>
      </c>
      <c r="CS37" s="72">
        <f>BT37-BY37</f>
        <v>-34101466.5</v>
      </c>
      <c r="CT37" s="76">
        <f>Y37-K37-L37-V37</f>
        <v>55282286.43000001</v>
      </c>
      <c r="CU37" s="76">
        <f>AU37-AR37</f>
        <v>58837839.92000001</v>
      </c>
      <c r="CV37" s="76">
        <f>CU37-CT37</f>
        <v>3555553.490000002</v>
      </c>
      <c r="CW37" s="76">
        <f>-V37+AR37</f>
        <v>-21871.95</v>
      </c>
      <c r="CX37" s="76">
        <f>CV37+CW37</f>
        <v>3533681.540000002</v>
      </c>
      <c r="CY37" s="76">
        <f>CX37-K37-L37</f>
        <v>-1287063.5099999986</v>
      </c>
      <c r="CZ37" s="76">
        <f>BR37-BP37</f>
        <v>1987665.6500000001</v>
      </c>
      <c r="DA37" s="76">
        <f>K37+L37</f>
        <v>4820745.050000001</v>
      </c>
      <c r="DB37" s="76">
        <f>-CZ37+DA37+CY37</f>
        <v>1546015.8900000018</v>
      </c>
      <c r="DC37" s="76">
        <f>-BP37-DA37</f>
        <v>-5685215.250000001</v>
      </c>
      <c r="DD37" s="76">
        <f>DB37+DC37+BR37</f>
        <v>-1287063.5099999993</v>
      </c>
      <c r="DE37" s="76">
        <f>Z37+AA37+AB37</f>
        <v>19105261.05000001</v>
      </c>
      <c r="DF37" s="76">
        <f>CS37/B37</f>
        <v>-892.5449917554375</v>
      </c>
      <c r="DG37" s="76">
        <f>CH37/B37</f>
        <v>44.82922239380218</v>
      </c>
      <c r="DH37" s="76">
        <f>DE37/B37</f>
        <v>500.04609233910037</v>
      </c>
      <c r="DI37" s="77">
        <f>CZ37/B37</f>
        <v>52.02359907870286</v>
      </c>
      <c r="DJ37" s="72">
        <f>DB37/B37</f>
        <v>40.46420525034684</v>
      </c>
      <c r="DK37" s="151">
        <f>CA37-BW37-BU37</f>
        <v>-35273589.349999994</v>
      </c>
      <c r="DL37" s="136">
        <f>SUM(DL32)</f>
        <v>617</v>
      </c>
      <c r="DM37" s="136">
        <f>SUM(DM32)</f>
        <v>2763</v>
      </c>
      <c r="DN37" s="139"/>
      <c r="DO37" s="65"/>
    </row>
    <row r="40" spans="1:118" ht="12.75">
      <c r="A40" s="50" t="s">
        <v>13</v>
      </c>
      <c r="B40" s="39">
        <v>3926</v>
      </c>
      <c r="C40" s="4">
        <v>16310356</v>
      </c>
      <c r="D40" s="66">
        <v>4154.45</v>
      </c>
      <c r="E40" s="66">
        <v>125.25</v>
      </c>
      <c r="F40" s="8">
        <v>10</v>
      </c>
      <c r="G40" s="129">
        <v>4403656</v>
      </c>
      <c r="H40" s="41">
        <v>672680</v>
      </c>
      <c r="I40" s="41">
        <v>112721</v>
      </c>
      <c r="J40" s="41">
        <v>0</v>
      </c>
      <c r="K40" s="41">
        <v>407000</v>
      </c>
      <c r="L40" s="41">
        <v>816794</v>
      </c>
      <c r="M40" s="41">
        <f>SUM(K40:L40)</f>
        <v>1223794</v>
      </c>
      <c r="N40" s="41">
        <v>0</v>
      </c>
      <c r="O40" s="41">
        <v>435327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1342728</v>
      </c>
      <c r="Y40" s="41">
        <f>SUM(G40:X40)-M40-W40</f>
        <v>8190906</v>
      </c>
      <c r="Z40" s="41">
        <v>1170907</v>
      </c>
      <c r="AA40" s="41">
        <v>1375920</v>
      </c>
      <c r="AB40" s="41">
        <v>0</v>
      </c>
      <c r="AC40" s="41">
        <v>8592</v>
      </c>
      <c r="AD40" s="41">
        <v>0</v>
      </c>
      <c r="AE40" s="41">
        <f>SUM(Z40:AD40)</f>
        <v>2555419</v>
      </c>
      <c r="AF40" s="41">
        <v>0</v>
      </c>
      <c r="AG40" s="41">
        <v>19313</v>
      </c>
      <c r="AH40" s="41">
        <v>0</v>
      </c>
      <c r="AI40" s="41">
        <v>52653</v>
      </c>
      <c r="AJ40" s="41">
        <v>2154792</v>
      </c>
      <c r="AK40" s="41">
        <v>404477</v>
      </c>
      <c r="AL40" s="41">
        <v>1860655</v>
      </c>
      <c r="AM40" s="41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1342728</v>
      </c>
      <c r="AU40" s="4">
        <f>SUM(Z40:AT40)-AE40-AH40-AS40</f>
        <v>8390037</v>
      </c>
      <c r="AV40" s="4">
        <v>199131</v>
      </c>
      <c r="AW40" s="4">
        <v>0</v>
      </c>
      <c r="AX40" s="4">
        <f>Y40-AU40+AV40-AW40</f>
        <v>0</v>
      </c>
      <c r="AY40" s="41">
        <v>0</v>
      </c>
      <c r="AZ40" s="41">
        <v>1709794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f>SUM(AZ40:BE40)</f>
        <v>1709794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264000</v>
      </c>
      <c r="BN40" s="41">
        <v>0</v>
      </c>
      <c r="BO40" s="41">
        <f>SUM(BG40:BN40)</f>
        <v>264000</v>
      </c>
      <c r="BP40" s="41">
        <v>264000</v>
      </c>
      <c r="BQ40" s="41">
        <v>0</v>
      </c>
      <c r="BR40" s="41">
        <v>1709794</v>
      </c>
      <c r="BS40" s="41">
        <f>+BF40-BO40+BP40+BQ40-BR40</f>
        <v>0</v>
      </c>
      <c r="BT40" s="4">
        <v>2444565</v>
      </c>
      <c r="BU40" s="4">
        <v>2072000</v>
      </c>
      <c r="BV40" s="4">
        <v>0</v>
      </c>
      <c r="BW40" s="4">
        <v>0</v>
      </c>
      <c r="BX40" s="4">
        <f>SUM(BT40:BW40)</f>
        <v>4516565</v>
      </c>
      <c r="BY40" s="4">
        <v>4298845</v>
      </c>
      <c r="BZ40" s="4">
        <v>0</v>
      </c>
      <c r="CA40" s="4">
        <v>217720</v>
      </c>
      <c r="CB40" s="4">
        <f>SUM(BY40:CA40)</f>
        <v>4516565</v>
      </c>
      <c r="CC40" s="4">
        <f>BX40-CB40</f>
        <v>0</v>
      </c>
      <c r="CD40" s="70">
        <f>K40+L40+AV40-AW40</f>
        <v>1422925</v>
      </c>
      <c r="CE40" s="72">
        <f>CD40+W40-AS40</f>
        <v>1422925</v>
      </c>
      <c r="CF40" s="72">
        <f>BR40-BP40</f>
        <v>1445794</v>
      </c>
      <c r="CG40" s="72">
        <f>AU40-AM40-AT40-AS40</f>
        <v>7047309</v>
      </c>
      <c r="CH40" s="72">
        <f>I40-AG40+AY40+AH40+BQ40</f>
        <v>93408</v>
      </c>
      <c r="CI40" s="35">
        <f>CH40+K40</f>
        <v>500408</v>
      </c>
      <c r="CJ40" s="57">
        <f>IF(CF40=0,"-",(CD40/CF40))</f>
        <v>0.9841823938956725</v>
      </c>
      <c r="CK40" s="57">
        <f>IF(CF40=0,"-",(CE40/CF40))</f>
        <v>0.9841823938956725</v>
      </c>
      <c r="CL40" s="148">
        <f>IF(CG40=0,"-",(CD40/CG40*1))</f>
        <v>0.2019104029637412</v>
      </c>
      <c r="CM40" s="148">
        <f>IF(CE40=0,"-",(CE40/CG40))</f>
        <v>0.2019104029637412</v>
      </c>
      <c r="CN40" s="148">
        <f>IF(CG40=0,"-",(CH40/CG40))</f>
        <v>0.013254420942802422</v>
      </c>
      <c r="CO40" s="148">
        <f>IF(CG40=0,"-",(CI40/CG40))</f>
        <v>0.0710069616643743</v>
      </c>
      <c r="CP40" s="148">
        <f>IF(BU40+K40+L40=0,"-",((K40+L40)/(BU40+K40+L40)))</f>
        <v>0.37131993079664566</v>
      </c>
      <c r="CQ40" s="148">
        <f>IF(BU40+K40+L40=0,"-",((K40)/(BU40+K40+L40)))</f>
        <v>0.12349072787923032</v>
      </c>
      <c r="CR40" s="149">
        <f>IF(CE40=0,"-",(CS40/CE40))</f>
        <v>-1.30314668728148</v>
      </c>
      <c r="CS40" s="72">
        <f>BT40-BY40</f>
        <v>-1854280</v>
      </c>
      <c r="CT40" s="76">
        <f>Y40-K40-L40-V40</f>
        <v>6967112</v>
      </c>
      <c r="CU40" s="76">
        <f>AU40-AR40</f>
        <v>8390037</v>
      </c>
      <c r="CV40" s="76">
        <f>CU40-CT40</f>
        <v>1422925</v>
      </c>
      <c r="CW40" s="76">
        <f>-V40+AR40</f>
        <v>0</v>
      </c>
      <c r="CX40" s="76">
        <f>CV40+CW40</f>
        <v>1422925</v>
      </c>
      <c r="CY40" s="76">
        <f>CX40-K40-L40</f>
        <v>199131</v>
      </c>
      <c r="CZ40" s="76">
        <f>BR40-BP40</f>
        <v>1445794</v>
      </c>
      <c r="DA40" s="76">
        <f>K40+L40</f>
        <v>1223794</v>
      </c>
      <c r="DB40" s="76">
        <f>-CZ40+DA40+CY40</f>
        <v>-22869</v>
      </c>
      <c r="DC40" s="76">
        <f>-BP40-DA40</f>
        <v>-1487794</v>
      </c>
      <c r="DD40" s="76">
        <f>DB40+DC40+BR40</f>
        <v>199131</v>
      </c>
      <c r="DE40" s="76">
        <f>Z40+AA40+AB40</f>
        <v>2546827</v>
      </c>
      <c r="DF40" s="76">
        <f>CS40/B40</f>
        <v>-472.3076923076923</v>
      </c>
      <c r="DG40" s="76">
        <f>CH40/B40</f>
        <v>23.792154865002548</v>
      </c>
      <c r="DH40" s="76">
        <f>DE40/B40</f>
        <v>648.7078451349975</v>
      </c>
      <c r="DI40" s="77">
        <f>CZ40/B40</f>
        <v>368.26133469179825</v>
      </c>
      <c r="DJ40" s="72">
        <f>DB40/B40</f>
        <v>-5.825012735608762</v>
      </c>
      <c r="DK40" s="151">
        <f>CA40-BW40-BU40</f>
        <v>-1854280</v>
      </c>
      <c r="DL40" s="72">
        <v>91</v>
      </c>
      <c r="DM40" s="72">
        <v>489</v>
      </c>
      <c r="DN40" s="132">
        <v>0</v>
      </c>
    </row>
    <row r="41" spans="1:118" ht="12.75">
      <c r="A41" s="50" t="s">
        <v>218</v>
      </c>
      <c r="B41" s="39">
        <v>3926</v>
      </c>
      <c r="C41" s="4">
        <v>16310356</v>
      </c>
      <c r="D41" s="66">
        <v>4154.45</v>
      </c>
      <c r="E41" s="66">
        <v>125.25</v>
      </c>
      <c r="F41" s="8">
        <v>16</v>
      </c>
      <c r="G41" s="129">
        <v>165305.35</v>
      </c>
      <c r="H41" s="41">
        <v>23964.6</v>
      </c>
      <c r="I41" s="41">
        <v>5425.85</v>
      </c>
      <c r="J41" s="41">
        <v>0</v>
      </c>
      <c r="K41" s="41">
        <v>3460</v>
      </c>
      <c r="L41" s="41">
        <v>0</v>
      </c>
      <c r="M41" s="41">
        <f>SUM(K41:L41)</f>
        <v>3460</v>
      </c>
      <c r="N41" s="41">
        <v>2049.15</v>
      </c>
      <c r="O41" s="41">
        <v>27636.15</v>
      </c>
      <c r="P41" s="41">
        <v>1357.2</v>
      </c>
      <c r="Q41" s="41">
        <v>2936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232134.30000000002</v>
      </c>
      <c r="Z41" s="41">
        <v>104839</v>
      </c>
      <c r="AA41" s="41">
        <v>17199</v>
      </c>
      <c r="AB41" s="41">
        <v>13926.6</v>
      </c>
      <c r="AC41" s="41">
        <v>0</v>
      </c>
      <c r="AD41" s="41">
        <v>0</v>
      </c>
      <c r="AE41" s="41">
        <f>SUM(Z41:AD41)</f>
        <v>135964.6</v>
      </c>
      <c r="AF41" s="41">
        <v>0</v>
      </c>
      <c r="AG41" s="41">
        <v>167.1</v>
      </c>
      <c r="AH41" s="41">
        <v>0</v>
      </c>
      <c r="AI41" s="41">
        <v>0</v>
      </c>
      <c r="AJ41" s="41">
        <v>0</v>
      </c>
      <c r="AK41" s="41">
        <v>1361.9</v>
      </c>
      <c r="AL41" s="41">
        <v>73713.5</v>
      </c>
      <c r="AM41" s="41">
        <v>1042.4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212249.50000000003</v>
      </c>
      <c r="AV41" s="4">
        <v>0</v>
      </c>
      <c r="AW41" s="4">
        <v>19884.8</v>
      </c>
      <c r="AX41" s="4">
        <f>Y41-AU41+AV41-AW41</f>
        <v>0</v>
      </c>
      <c r="AY41" s="41">
        <v>0</v>
      </c>
      <c r="AZ41" s="41">
        <v>46495.4</v>
      </c>
      <c r="BA41" s="41">
        <v>0</v>
      </c>
      <c r="BB41" s="41">
        <v>0</v>
      </c>
      <c r="BC41" s="41">
        <v>0</v>
      </c>
      <c r="BD41" s="41">
        <v>2351.8</v>
      </c>
      <c r="BE41" s="41">
        <v>0</v>
      </c>
      <c r="BF41" s="41">
        <f>SUM(AZ41:BE41)</f>
        <v>48847.200000000004</v>
      </c>
      <c r="BG41" s="41">
        <v>41427.2</v>
      </c>
      <c r="BH41" s="41">
        <v>0</v>
      </c>
      <c r="BI41" s="41">
        <v>3460</v>
      </c>
      <c r="BJ41" s="41">
        <v>0</v>
      </c>
      <c r="BK41" s="41">
        <v>3000</v>
      </c>
      <c r="BL41" s="41">
        <v>0</v>
      </c>
      <c r="BM41" s="41">
        <v>960</v>
      </c>
      <c r="BN41" s="41">
        <v>0</v>
      </c>
      <c r="BO41" s="41">
        <f>SUM(BG41:BN41)</f>
        <v>48847.2</v>
      </c>
      <c r="BP41" s="41">
        <v>48847.2</v>
      </c>
      <c r="BQ41" s="41">
        <v>0</v>
      </c>
      <c r="BR41" s="41">
        <v>48847.2</v>
      </c>
      <c r="BS41" s="41">
        <f>+BF41-BO41+BP41+BQ41-BR41</f>
        <v>0</v>
      </c>
      <c r="BT41" s="4">
        <v>226.95</v>
      </c>
      <c r="BU41" s="4">
        <v>10111.75</v>
      </c>
      <c r="BV41" s="4">
        <v>0</v>
      </c>
      <c r="BW41" s="4">
        <v>19884.8</v>
      </c>
      <c r="BX41" s="4">
        <f>SUM(BT41:BW41)</f>
        <v>30223.5</v>
      </c>
      <c r="BY41" s="4">
        <v>22799.25</v>
      </c>
      <c r="BZ41" s="4">
        <v>0</v>
      </c>
      <c r="CA41" s="4">
        <v>7424.25</v>
      </c>
      <c r="CB41" s="4">
        <f>SUM(BY41:CA41)</f>
        <v>30223.5</v>
      </c>
      <c r="CC41" s="4">
        <f>BX41-CB41</f>
        <v>0</v>
      </c>
      <c r="CD41" s="70">
        <f>K41+L41+AV41-AW41</f>
        <v>-16424.8</v>
      </c>
      <c r="CE41" s="72">
        <f>CD41+W41-AS41</f>
        <v>-16424.8</v>
      </c>
      <c r="CF41" s="72">
        <f>BR41-BP41</f>
        <v>0</v>
      </c>
      <c r="CG41" s="72">
        <f>AU41-AM41-AT41-AS41</f>
        <v>211207.10000000003</v>
      </c>
      <c r="CH41" s="72">
        <f>I41-AG41+AY41+AH41+BQ41</f>
        <v>5258.75</v>
      </c>
      <c r="CI41" s="35">
        <f>CH41+K41</f>
        <v>8718.75</v>
      </c>
      <c r="CJ41" s="57" t="str">
        <f>IF(CF41=0,"-",(CD41/CF41))</f>
        <v>-</v>
      </c>
      <c r="CK41" s="57" t="str">
        <f>IF(CF41=0,"-",(CE41/CF41))</f>
        <v>-</v>
      </c>
      <c r="CL41" s="148">
        <f>IF(CG41=0,"-",(CD41/CG41*1))</f>
        <v>-0.07776632509039703</v>
      </c>
      <c r="CM41" s="148">
        <f>IF(CE41=0,"-",(CE41/CG41))</f>
        <v>-0.07776632509039703</v>
      </c>
      <c r="CN41" s="148">
        <f>IF(CG41=0,"-",(CH41/CG41))</f>
        <v>0.0248985474446645</v>
      </c>
      <c r="CO41" s="148">
        <f>IF(CG41=0,"-",(CI41/CG41))</f>
        <v>0.04128057248075467</v>
      </c>
      <c r="CP41" s="148">
        <f>IF(BU41+K41+L41=0,"-",((K41+L41)/(BU41+K41+L41)))</f>
        <v>0.2549413303369131</v>
      </c>
      <c r="CQ41" s="148">
        <f>IF(BU41+K41+L41=0,"-",((K41)/(BU41+K41+L41)))</f>
        <v>0.2549413303369131</v>
      </c>
      <c r="CR41" s="149">
        <f>IF(CE41=0,"-",(CS41/CE41))</f>
        <v>1.3742815742048609</v>
      </c>
      <c r="CS41" s="72">
        <f>BT41-BY41</f>
        <v>-22572.3</v>
      </c>
      <c r="CT41" s="76">
        <f>Y41-K41-L41-V41</f>
        <v>228674.30000000002</v>
      </c>
      <c r="CU41" s="76">
        <f>AU41-AR41</f>
        <v>212249.50000000003</v>
      </c>
      <c r="CV41" s="76">
        <f>CU41-CT41</f>
        <v>-16424.79999999999</v>
      </c>
      <c r="CW41" s="76">
        <f>-V41+AR41</f>
        <v>0</v>
      </c>
      <c r="CX41" s="76">
        <f>CV41+CW41</f>
        <v>-16424.79999999999</v>
      </c>
      <c r="CY41" s="76">
        <f>CX41-K41-L41</f>
        <v>-19884.79999999999</v>
      </c>
      <c r="CZ41" s="76">
        <f>BR41-BP41</f>
        <v>0</v>
      </c>
      <c r="DA41" s="76">
        <f>K41+L41</f>
        <v>3460</v>
      </c>
      <c r="DB41" s="76">
        <f>-CZ41+DA41+CY41</f>
        <v>-16424.79999999999</v>
      </c>
      <c r="DC41" s="76">
        <f>-BP41-DA41</f>
        <v>-52307.2</v>
      </c>
      <c r="DD41" s="76">
        <f>DB41+DC41+BR41</f>
        <v>-19884.79999999999</v>
      </c>
      <c r="DE41" s="76">
        <f>Z41+AA41+AB41</f>
        <v>135964.6</v>
      </c>
      <c r="DF41" s="76">
        <f>CS41/B41</f>
        <v>-5.749439633214467</v>
      </c>
      <c r="DG41" s="76">
        <f>CH41/B41</f>
        <v>1.3394676515537443</v>
      </c>
      <c r="DH41" s="76">
        <f>DE41/B41</f>
        <v>34.63183902190525</v>
      </c>
      <c r="DI41" s="77">
        <f>CZ41/B41</f>
        <v>0</v>
      </c>
      <c r="DJ41" s="72">
        <f>DB41/B41</f>
        <v>-4.183596535914414</v>
      </c>
      <c r="DK41" s="151">
        <f>CA41-BW41-BU41</f>
        <v>-22572.3</v>
      </c>
      <c r="DL41" s="72">
        <v>0</v>
      </c>
      <c r="DM41" s="72">
        <v>15</v>
      </c>
      <c r="DN41" s="63">
        <v>0</v>
      </c>
    </row>
    <row r="42" spans="1:118" ht="12.75">
      <c r="A42" s="3" t="s">
        <v>220</v>
      </c>
      <c r="B42" s="134">
        <f>B11+B27</f>
        <v>6344</v>
      </c>
      <c r="C42" s="146">
        <f>C11+C27</f>
        <v>24086177</v>
      </c>
      <c r="D42" s="145">
        <f>D11+D27</f>
        <v>6837.780000000001</v>
      </c>
      <c r="E42" s="145">
        <f>((E11*B11)+(E27*B27))/B42</f>
        <v>114.46466740226985</v>
      </c>
      <c r="F42" s="146">
        <f>F11</f>
        <v>14</v>
      </c>
      <c r="G42" s="129">
        <v>4478159.6</v>
      </c>
      <c r="H42" s="41">
        <v>1010187.45</v>
      </c>
      <c r="I42" s="41">
        <v>453872</v>
      </c>
      <c r="J42" s="41">
        <v>12500</v>
      </c>
      <c r="K42" s="41">
        <v>658492</v>
      </c>
      <c r="L42" s="41">
        <v>143127.6</v>
      </c>
      <c r="M42" s="41">
        <f>SUM(K42:L42)</f>
        <v>801619.6</v>
      </c>
      <c r="N42" s="41">
        <v>0</v>
      </c>
      <c r="O42" s="41">
        <v>1847047.15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8603385.799999999</v>
      </c>
      <c r="Z42" s="41">
        <v>3985483.75</v>
      </c>
      <c r="AA42" s="41">
        <v>365448.4</v>
      </c>
      <c r="AB42" s="41">
        <v>0</v>
      </c>
      <c r="AC42" s="41">
        <v>270862</v>
      </c>
      <c r="AD42" s="41">
        <v>0</v>
      </c>
      <c r="AE42" s="41">
        <f>SUM(Z42:AD42)</f>
        <v>4621794.15</v>
      </c>
      <c r="AF42" s="41">
        <v>0</v>
      </c>
      <c r="AG42" s="41">
        <v>253388.65</v>
      </c>
      <c r="AH42" s="41">
        <v>0</v>
      </c>
      <c r="AI42" s="41">
        <v>172889.14</v>
      </c>
      <c r="AJ42" s="41">
        <v>1735284.75</v>
      </c>
      <c r="AK42" s="41">
        <v>64749.65</v>
      </c>
      <c r="AL42" s="41">
        <v>1668172.45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112190</v>
      </c>
      <c r="AU42" s="4">
        <f>SUM(Z42:AT42)-AE42-AH42-AS42</f>
        <v>8628468.790000001</v>
      </c>
      <c r="AV42" s="4">
        <v>25082.99</v>
      </c>
      <c r="AW42" s="4">
        <v>0</v>
      </c>
      <c r="AX42" s="4">
        <f>Y42-AU42+AV42-AW42</f>
        <v>-2.0845618564635515E-09</v>
      </c>
      <c r="AY42" s="41">
        <v>0</v>
      </c>
      <c r="AZ42" s="41">
        <v>71851.95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71851.95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28600</v>
      </c>
      <c r="BN42" s="41">
        <v>0</v>
      </c>
      <c r="BO42" s="41">
        <f>SUM(BG42:BN42)</f>
        <v>28600</v>
      </c>
      <c r="BP42" s="41">
        <v>28600</v>
      </c>
      <c r="BQ42" s="41">
        <v>0</v>
      </c>
      <c r="BR42" s="41">
        <v>71851.95</v>
      </c>
      <c r="BS42" s="41">
        <f>+BF42-BO42+BP42+BQ42-BR42</f>
        <v>0</v>
      </c>
      <c r="BT42" s="4">
        <v>6514792.8</v>
      </c>
      <c r="BU42" s="4">
        <v>6981575</v>
      </c>
      <c r="BV42" s="4">
        <v>0</v>
      </c>
      <c r="BW42" s="4">
        <v>0</v>
      </c>
      <c r="BX42" s="4">
        <f>SUM(BT42:BW42)</f>
        <v>13496367.8</v>
      </c>
      <c r="BY42" s="4">
        <v>12774767</v>
      </c>
      <c r="BZ42" s="4">
        <v>0</v>
      </c>
      <c r="CA42" s="4">
        <v>721600.8</v>
      </c>
      <c r="CB42" s="4">
        <f>SUM(BY42:CA42)</f>
        <v>13496367.8</v>
      </c>
      <c r="CC42" s="4">
        <f>BX42-CB42</f>
        <v>0</v>
      </c>
      <c r="CD42" s="70">
        <f>K42+L42+AV42-AW42</f>
        <v>826702.59</v>
      </c>
      <c r="CE42" s="72">
        <f>CD42+W42-AS42</f>
        <v>826702.59</v>
      </c>
      <c r="CF42" s="72">
        <f>BR42-BP42</f>
        <v>43251.95</v>
      </c>
      <c r="CG42" s="72">
        <f>AU42-AM42-AT42-AS42</f>
        <v>8516278.790000001</v>
      </c>
      <c r="CH42" s="72">
        <f>I42-AG42+AY42+AH42+BQ42</f>
        <v>200483.35</v>
      </c>
      <c r="CI42" s="35">
        <f>CH42+K42</f>
        <v>858975.35</v>
      </c>
      <c r="CJ42" s="57">
        <f>IF(CF42=0,"-",(CD42/CF42))</f>
        <v>19.113648979988184</v>
      </c>
      <c r="CK42" s="57">
        <f>IF(CF42=0,"-",(CE42/CF42))</f>
        <v>19.113648979988184</v>
      </c>
      <c r="CL42" s="148">
        <f>IF(CG42=0,"-",(CD42/CG42*1))</f>
        <v>0.09707321828998036</v>
      </c>
      <c r="CM42" s="148">
        <f>IF(CE42=0,"-",(CE42/CG42))</f>
        <v>0.09707321828998036</v>
      </c>
      <c r="CN42" s="148">
        <f>IF(CG42=0,"-",(CH42/CG42))</f>
        <v>0.02354119151611287</v>
      </c>
      <c r="CO42" s="148">
        <f>IF(CG42=0,"-",(CI42/CG42))</f>
        <v>0.10086275604418064</v>
      </c>
      <c r="CP42" s="148">
        <f>IF(BU42+K42+L42=0,"-",((K42+L42)/(BU42+K42+L42)))</f>
        <v>0.10299364736428407</v>
      </c>
      <c r="CQ42" s="148">
        <f>IF(BU42+K42+L42=0,"-",((K42)/(BU42+K42+L42)))</f>
        <v>0.08460433457490579</v>
      </c>
      <c r="CR42" s="149">
        <f>IF(CE42=0,"-",(CS42/CE42))</f>
        <v>-7.572220379761966</v>
      </c>
      <c r="CS42" s="72">
        <f>BT42-BY42</f>
        <v>-6259974.2</v>
      </c>
      <c r="CT42" s="76">
        <f>Y42-K42-L42-V42</f>
        <v>7801766.199999999</v>
      </c>
      <c r="CU42" s="76">
        <f>AU42-AR42</f>
        <v>8628468.790000001</v>
      </c>
      <c r="CV42" s="76">
        <f>CU42-CT42</f>
        <v>826702.5900000017</v>
      </c>
      <c r="CW42" s="76">
        <f>-V42+AR42</f>
        <v>0</v>
      </c>
      <c r="CX42" s="76">
        <f>CV42+CW42</f>
        <v>826702.5900000017</v>
      </c>
      <c r="CY42" s="76">
        <f>CX42-K42-L42</f>
        <v>25082.990000001708</v>
      </c>
      <c r="CZ42" s="76">
        <f>BR42-BP42</f>
        <v>43251.95</v>
      </c>
      <c r="DA42" s="76">
        <f>K42+L42</f>
        <v>801619.6</v>
      </c>
      <c r="DB42" s="76">
        <f>-CZ42+DA42+CY42</f>
        <v>783450.6400000018</v>
      </c>
      <c r="DC42" s="76">
        <f>-BP42-DA42</f>
        <v>-830219.6</v>
      </c>
      <c r="DD42" s="76">
        <f>DB42+DC42+BR42</f>
        <v>25082.99000000178</v>
      </c>
      <c r="DE42" s="76">
        <f>Z42+AA42+AB42</f>
        <v>4350932.15</v>
      </c>
      <c r="DF42" s="76">
        <f>CS42/B42</f>
        <v>-986.7550756620429</v>
      </c>
      <c r="DG42" s="76">
        <f>CH42/B42</f>
        <v>31.60204129886507</v>
      </c>
      <c r="DH42" s="76">
        <f>DE42/B42</f>
        <v>685.8341976670871</v>
      </c>
      <c r="DI42" s="77">
        <f>CZ42/B42</f>
        <v>6.817772698612862</v>
      </c>
      <c r="DJ42" s="72">
        <f>DB42/B42</f>
        <v>123.49474148802045</v>
      </c>
      <c r="DK42" s="151">
        <f>CA42-BW42-BU42</f>
        <v>-6259974.2</v>
      </c>
      <c r="DL42" s="72">
        <v>146</v>
      </c>
      <c r="DM42" s="72">
        <v>392</v>
      </c>
      <c r="DN42" s="63">
        <v>0</v>
      </c>
    </row>
    <row r="43" spans="1:118" ht="12.75">
      <c r="A43" s="3" t="s">
        <v>221</v>
      </c>
      <c r="B43" s="134">
        <f>B12+B14+B23</f>
        <v>1072</v>
      </c>
      <c r="G43" s="129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f>SUM(K43:L43)</f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0</v>
      </c>
      <c r="Y43" s="41">
        <f>SUM(G43:X43)-M43-W43</f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f>SUM(Z43:AD43)</f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0</v>
      </c>
      <c r="AU43" s="4">
        <f>SUM(Z43:AT43)-AE43-AH43-AS43</f>
        <v>0</v>
      </c>
      <c r="AV43" s="4">
        <v>0</v>
      </c>
      <c r="AW43" s="4">
        <v>0</v>
      </c>
      <c r="AX43" s="4">
        <f>Y43-AU43+AV43-AW43</f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f>SUM(AZ43:BE43)</f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f>SUM(BG43:BN43)</f>
        <v>0</v>
      </c>
      <c r="BP43" s="41">
        <v>0</v>
      </c>
      <c r="BQ43" s="41">
        <v>0</v>
      </c>
      <c r="BR43" s="41">
        <v>0</v>
      </c>
      <c r="BS43" s="41">
        <f>+BF43-BO43+BP43+BQ43-BR43</f>
        <v>0</v>
      </c>
      <c r="BT43" s="4">
        <v>0</v>
      </c>
      <c r="BU43" s="4">
        <v>0</v>
      </c>
      <c r="BV43" s="4">
        <v>0</v>
      </c>
      <c r="BW43" s="4">
        <v>0</v>
      </c>
      <c r="BX43" s="4">
        <f>SUM(BT43:BW43)</f>
        <v>0</v>
      </c>
      <c r="BY43" s="4">
        <v>0</v>
      </c>
      <c r="BZ43" s="4">
        <v>0</v>
      </c>
      <c r="CA43" s="4">
        <v>0</v>
      </c>
      <c r="CB43" s="4">
        <f>SUM(BY43:CA43)</f>
        <v>0</v>
      </c>
      <c r="CC43" s="4">
        <f>BX43-CB43</f>
        <v>0</v>
      </c>
      <c r="CD43" s="70">
        <f>K43+L43+AV43-AW43</f>
        <v>0</v>
      </c>
      <c r="CE43" s="72">
        <f>CD43+W43-AS43</f>
        <v>0</v>
      </c>
      <c r="CF43" s="72">
        <f>BR43-BP43</f>
        <v>0</v>
      </c>
      <c r="CG43" s="72">
        <f>AU43-AM43-AT43-AS43</f>
        <v>0</v>
      </c>
      <c r="CH43" s="72">
        <f>I43-AG43+AY43+AH43+BQ43</f>
        <v>0</v>
      </c>
      <c r="CI43" s="35">
        <f>CH43+K43</f>
        <v>0</v>
      </c>
      <c r="CJ43" s="57" t="str">
        <f>IF(CF43=0,"-",(CD43/CF43))</f>
        <v>-</v>
      </c>
      <c r="CK43" s="57" t="str">
        <f>IF(CF43=0,"-",(CE43/CF43))</f>
        <v>-</v>
      </c>
      <c r="CL43" s="148" t="str">
        <f>IF(CG43=0,"-",(CD43/CG43*1))</f>
        <v>-</v>
      </c>
      <c r="CM43" s="148" t="str">
        <f>IF(CE43=0,"-",(CE43/CG43))</f>
        <v>-</v>
      </c>
      <c r="CN43" s="148" t="str">
        <f>IF(CG43=0,"-",(CH43/CG43))</f>
        <v>-</v>
      </c>
      <c r="CO43" s="148" t="str">
        <f>IF(CG43=0,"-",(CI43/CG43))</f>
        <v>-</v>
      </c>
      <c r="CP43" s="148" t="str">
        <f>IF(BU43+K43+L43=0,"-",((K43+L43)/(BU43+K43+L43)))</f>
        <v>-</v>
      </c>
      <c r="CQ43" s="148" t="str">
        <f>IF(BU43+K43+L43=0,"-",((K43)/(BU43+K43+L43)))</f>
        <v>-</v>
      </c>
      <c r="CR43" s="149" t="str">
        <f>IF(CE43=0,"-",(CS43/CE43))</f>
        <v>-</v>
      </c>
      <c r="CS43" s="72">
        <f>BT43-BY43</f>
        <v>0</v>
      </c>
      <c r="CT43" s="76">
        <f>Y43-K43-L43-V43</f>
        <v>0</v>
      </c>
      <c r="CU43" s="76">
        <f>AU43-AR43</f>
        <v>0</v>
      </c>
      <c r="CV43" s="76">
        <f>CU43-CT43</f>
        <v>0</v>
      </c>
      <c r="CW43" s="76">
        <f>-V43+AR43</f>
        <v>0</v>
      </c>
      <c r="CX43" s="76">
        <f>CV43+CW43</f>
        <v>0</v>
      </c>
      <c r="CY43" s="76">
        <f>CX43-K43-L43</f>
        <v>0</v>
      </c>
      <c r="CZ43" s="76">
        <f>BR43-BP43</f>
        <v>0</v>
      </c>
      <c r="DA43" s="76">
        <f>K43+L43</f>
        <v>0</v>
      </c>
      <c r="DB43" s="76">
        <f>-CZ43+DA43+CY43</f>
        <v>0</v>
      </c>
      <c r="DC43" s="76">
        <f>-BP43-DA43</f>
        <v>0</v>
      </c>
      <c r="DD43" s="76">
        <f>DB43+DC43+BR43</f>
        <v>0</v>
      </c>
      <c r="DE43" s="76">
        <f>Z43+AA43+AB43</f>
        <v>0</v>
      </c>
      <c r="DF43" s="76">
        <f>CS43/B43</f>
        <v>0</v>
      </c>
      <c r="DG43" s="76">
        <f>CH43/B43</f>
        <v>0</v>
      </c>
      <c r="DH43" s="76">
        <f>DE43/B43</f>
        <v>0</v>
      </c>
      <c r="DI43" s="77">
        <f>CZ43/B43</f>
        <v>0</v>
      </c>
      <c r="DJ43" s="72">
        <f>DB43/B43</f>
        <v>0</v>
      </c>
      <c r="DK43" s="151">
        <f>CA43-BW43-BU43</f>
        <v>0</v>
      </c>
      <c r="DL43" s="72">
        <v>0</v>
      </c>
      <c r="DM43" s="72">
        <v>0</v>
      </c>
      <c r="DN43" s="63">
        <v>0</v>
      </c>
    </row>
    <row r="44" spans="1:118" ht="12.75">
      <c r="A44" s="3" t="s">
        <v>222</v>
      </c>
      <c r="B44" s="134">
        <f>B13+B16</f>
        <v>907</v>
      </c>
      <c r="G44" s="129">
        <v>644835.9</v>
      </c>
      <c r="H44" s="41">
        <v>117576.92</v>
      </c>
      <c r="I44" s="41">
        <v>21672.4</v>
      </c>
      <c r="J44" s="41">
        <v>0</v>
      </c>
      <c r="K44" s="41">
        <v>589765</v>
      </c>
      <c r="L44" s="41">
        <v>0</v>
      </c>
      <c r="M44" s="41">
        <f>SUM(K44:L44)</f>
        <v>589765</v>
      </c>
      <c r="N44" s="41">
        <v>0</v>
      </c>
      <c r="O44" s="41">
        <v>331191.5</v>
      </c>
      <c r="P44" s="41">
        <v>25840.35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1730882.0700000003</v>
      </c>
      <c r="Z44" s="41">
        <v>247230.1</v>
      </c>
      <c r="AA44" s="41">
        <v>0</v>
      </c>
      <c r="AB44" s="41">
        <v>0</v>
      </c>
      <c r="AC44" s="41">
        <v>40480.4</v>
      </c>
      <c r="AD44" s="41">
        <v>0</v>
      </c>
      <c r="AE44" s="41">
        <f>SUM(Z44:AD44)</f>
        <v>287710.5</v>
      </c>
      <c r="AF44" s="41">
        <v>0</v>
      </c>
      <c r="AG44" s="41">
        <v>509.75</v>
      </c>
      <c r="AH44" s="41">
        <v>0</v>
      </c>
      <c r="AI44" s="41">
        <v>27387.75</v>
      </c>
      <c r="AJ44" s="41">
        <v>817357.9</v>
      </c>
      <c r="AK44" s="41">
        <v>1080</v>
      </c>
      <c r="AL44" s="41">
        <v>251906.85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1385952.75</v>
      </c>
      <c r="AV44" s="4">
        <v>0</v>
      </c>
      <c r="AW44" s="4">
        <v>344929.32</v>
      </c>
      <c r="AX44" s="4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273372.58</v>
      </c>
      <c r="BU44" s="4">
        <v>2065970.7</v>
      </c>
      <c r="BV44" s="4">
        <v>0</v>
      </c>
      <c r="BW44" s="4">
        <v>344929.32</v>
      </c>
      <c r="BX44" s="4">
        <f>SUM(BT44:BW44)</f>
        <v>2684272.5999999996</v>
      </c>
      <c r="BY44" s="4">
        <v>2487368.6</v>
      </c>
      <c r="BZ44" s="4">
        <v>0</v>
      </c>
      <c r="CA44" s="4">
        <v>196904</v>
      </c>
      <c r="CB44" s="4">
        <f>SUM(BY44:CA44)</f>
        <v>2684272.6</v>
      </c>
      <c r="CC44" s="4">
        <f>BX44-CB44</f>
        <v>0</v>
      </c>
      <c r="CD44" s="70">
        <f>K44+L44+AV44-AW44</f>
        <v>244835.68</v>
      </c>
      <c r="CE44" s="72">
        <f>CD44+W44-AS44</f>
        <v>244835.68</v>
      </c>
      <c r="CF44" s="72">
        <f>BR44-BP44</f>
        <v>0</v>
      </c>
      <c r="CG44" s="72">
        <f>AU44-AM44-AT44-AS44</f>
        <v>1385952.75</v>
      </c>
      <c r="CH44" s="72">
        <f>I44-AG44+AY44+AH44+BQ44</f>
        <v>21162.65</v>
      </c>
      <c r="CI44" s="35">
        <f>CH44+K44</f>
        <v>610927.65</v>
      </c>
      <c r="CJ44" s="57" t="str">
        <f>IF(CF44=0,"-",(CD44/CF44))</f>
        <v>-</v>
      </c>
      <c r="CK44" s="57" t="str">
        <f>IF(CF44=0,"-",(CE44/CF44))</f>
        <v>-</v>
      </c>
      <c r="CL44" s="148">
        <f>IF(CG44=0,"-",(CD44/CG44*1))</f>
        <v>0.17665514210350966</v>
      </c>
      <c r="CM44" s="148">
        <f>IF(CE44=0,"-",(CE44/CG44))</f>
        <v>0.17665514210350966</v>
      </c>
      <c r="CN44" s="148">
        <f>IF(CG44=0,"-",(CH44/CG44))</f>
        <v>0.015269387791178307</v>
      </c>
      <c r="CO44" s="148">
        <f>IF(CG44=0,"-",(CI44/CG44))</f>
        <v>0.44079976752454225</v>
      </c>
      <c r="CP44" s="148">
        <f>IF(BU44+K44+L44=0,"-",((K44+L44)/(BU44+K44+L44)))</f>
        <v>0.22207217382362257</v>
      </c>
      <c r="CQ44" s="148">
        <f>IF(BU44+K44+L44=0,"-",((K44)/(BU44+K44+L44)))</f>
        <v>0.22207217382362257</v>
      </c>
      <c r="CR44" s="149">
        <f>IF(CE44=0,"-",(CS44/CE44))</f>
        <v>-9.042783388434236</v>
      </c>
      <c r="CS44" s="72">
        <f>BT44-BY44</f>
        <v>-2213996.02</v>
      </c>
      <c r="CT44" s="76">
        <f>Y44-K44-L44-V44</f>
        <v>1141117.0700000003</v>
      </c>
      <c r="CU44" s="76">
        <f>AU44-AR44</f>
        <v>1385952.75</v>
      </c>
      <c r="CV44" s="76">
        <f>CU44-CT44</f>
        <v>244835.6799999997</v>
      </c>
      <c r="CW44" s="76">
        <f>-V44+AR44</f>
        <v>0</v>
      </c>
      <c r="CX44" s="76">
        <f>CV44+CW44</f>
        <v>244835.6799999997</v>
      </c>
      <c r="CY44" s="76">
        <f>CX44-K44-L44</f>
        <v>-344929.3200000003</v>
      </c>
      <c r="CZ44" s="76">
        <f>BR44-BP44</f>
        <v>0</v>
      </c>
      <c r="DA44" s="76">
        <f>K44+L44</f>
        <v>589765</v>
      </c>
      <c r="DB44" s="76">
        <f>-CZ44+DA44+CY44</f>
        <v>244835.6799999997</v>
      </c>
      <c r="DC44" s="76">
        <f>-BP44-DA44</f>
        <v>-589765</v>
      </c>
      <c r="DD44" s="76">
        <f>DB44+DC44+BR44</f>
        <v>-344929.3200000003</v>
      </c>
      <c r="DE44" s="76">
        <f>Z44+AA44+AB44</f>
        <v>247230.1</v>
      </c>
      <c r="DF44" s="76">
        <f>CS44/B44</f>
        <v>-2441.0099448732085</v>
      </c>
      <c r="DG44" s="76">
        <f>CH44/B44</f>
        <v>23.332579933847853</v>
      </c>
      <c r="DH44" s="76">
        <f>DE44/B44</f>
        <v>272.5800441014333</v>
      </c>
      <c r="DI44" s="77">
        <f>CZ44/B44</f>
        <v>0</v>
      </c>
      <c r="DJ44" s="72">
        <f>DB44/B44</f>
        <v>269.94011025358293</v>
      </c>
      <c r="DK44" s="151">
        <f>CA44-BW44-BU44</f>
        <v>-2213996.02</v>
      </c>
      <c r="DL44" s="72">
        <v>36</v>
      </c>
      <c r="DM44" s="72">
        <v>78</v>
      </c>
      <c r="DN44" s="63">
        <v>0</v>
      </c>
    </row>
    <row r="46" spans="1:118" ht="12.75">
      <c r="A46" s="3" t="s">
        <v>252</v>
      </c>
      <c r="B46" s="134">
        <f>B8</f>
        <v>659</v>
      </c>
      <c r="C46" s="141"/>
      <c r="D46" s="141"/>
      <c r="E46" s="141"/>
      <c r="F46" s="141"/>
      <c r="G46" s="129">
        <v>9755.25</v>
      </c>
      <c r="H46" s="41">
        <v>26017.05</v>
      </c>
      <c r="I46" s="41">
        <v>11528.5</v>
      </c>
      <c r="J46" s="41">
        <v>0</v>
      </c>
      <c r="K46" s="41">
        <v>135000</v>
      </c>
      <c r="L46" s="41">
        <v>0</v>
      </c>
      <c r="M46" s="41">
        <f>SUM(K46:L46)</f>
        <v>135000</v>
      </c>
      <c r="N46" s="41">
        <v>0</v>
      </c>
      <c r="O46" s="41">
        <v>267315.6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449616.3999999999</v>
      </c>
      <c r="Z46" s="41">
        <v>187397.15</v>
      </c>
      <c r="AA46" s="41">
        <v>47575.1</v>
      </c>
      <c r="AB46" s="41">
        <v>0</v>
      </c>
      <c r="AC46" s="41">
        <v>2382.65</v>
      </c>
      <c r="AD46" s="41">
        <v>0</v>
      </c>
      <c r="AE46" s="41">
        <f>SUM(Z46:AD46)</f>
        <v>237354.9</v>
      </c>
      <c r="AF46" s="41">
        <v>0</v>
      </c>
      <c r="AG46" s="41">
        <v>941.2</v>
      </c>
      <c r="AH46" s="41">
        <v>0</v>
      </c>
      <c r="AI46" s="41">
        <v>43300</v>
      </c>
      <c r="AJ46" s="41">
        <v>39967.05</v>
      </c>
      <c r="AK46" s="41">
        <v>693</v>
      </c>
      <c r="AL46" s="41">
        <v>6531.35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328787.5</v>
      </c>
      <c r="AV46" s="4">
        <v>0</v>
      </c>
      <c r="AW46" s="4">
        <v>120828.9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130328.75</v>
      </c>
      <c r="BU46" s="4">
        <v>416668.9</v>
      </c>
      <c r="BV46" s="4">
        <v>0</v>
      </c>
      <c r="BW46" s="4">
        <f>120828.9-73163.25</f>
        <v>47665.649999999994</v>
      </c>
      <c r="BX46" s="4">
        <f>SUM(BT46:BW46)</f>
        <v>594663.3</v>
      </c>
      <c r="BY46" s="4">
        <v>594663.3</v>
      </c>
      <c r="BZ46" s="4">
        <v>0</v>
      </c>
      <c r="CA46" s="4">
        <v>0</v>
      </c>
      <c r="CB46" s="4">
        <f>SUM(BY46:CA46)</f>
        <v>594663.3</v>
      </c>
      <c r="CC46" s="4">
        <f>BX46-CB46</f>
        <v>0</v>
      </c>
      <c r="CD46" s="70">
        <f>K46+L46+AV46-AW46</f>
        <v>14171.100000000006</v>
      </c>
      <c r="CE46" s="72">
        <f>CD46+W46-AS46</f>
        <v>14171.100000000006</v>
      </c>
      <c r="CF46" s="72">
        <f>BR46-BP46</f>
        <v>0</v>
      </c>
      <c r="CG46" s="72">
        <f>AU46-AM46-AT46-AS46</f>
        <v>328787.5</v>
      </c>
      <c r="CH46" s="72">
        <f>I46-AG46+AY46+AH46+BQ46</f>
        <v>10587.3</v>
      </c>
      <c r="CI46" s="35">
        <f>CH46+K46</f>
        <v>145587.3</v>
      </c>
      <c r="CJ46" s="57" t="str">
        <f>IF(CF46=0,"-",(CD46/CF46))</f>
        <v>-</v>
      </c>
      <c r="CK46" s="57" t="str">
        <f>IF(CF46=0,"-",(CE46/CF46))</f>
        <v>-</v>
      </c>
      <c r="CL46" s="148">
        <f>IF(CG46=0,"-",(CD46/CG46*1))</f>
        <v>0.043101091130289336</v>
      </c>
      <c r="CM46" s="148">
        <f>IF(CE46=0,"-",(CE46/CG46))</f>
        <v>0.043101091130289336</v>
      </c>
      <c r="CN46" s="148">
        <f>IF(CG46=0,"-",(CH46/CG46))</f>
        <v>0.032201041706269244</v>
      </c>
      <c r="CO46" s="148">
        <f>IF(CG46=0,"-",(CI46/CG46))</f>
        <v>0.4428005930882408</v>
      </c>
      <c r="CP46" s="148">
        <f>IF(BU46+K46+L46=0,"-",((K46+L46)/(BU46+K46+L46)))</f>
        <v>0.24471200025957598</v>
      </c>
      <c r="CQ46" s="148">
        <f>IF(BU46+K46+L46=0,"-",((K46)/(BU46+K46+L46)))</f>
        <v>0.24471200025957598</v>
      </c>
      <c r="CR46" s="149">
        <f>IF(CE46=0,"-",(CS46/CE46))</f>
        <v>-32.7663025453211</v>
      </c>
      <c r="CS46" s="72">
        <f>BT46-BY46</f>
        <v>-464334.55000000005</v>
      </c>
      <c r="CT46" s="76">
        <f>Y46-K46-L46-V46</f>
        <v>314616.3999999999</v>
      </c>
      <c r="CU46" s="76">
        <f>AU46-AR46</f>
        <v>328787.5</v>
      </c>
      <c r="CV46" s="76">
        <f>CU46-CT46</f>
        <v>14171.100000000093</v>
      </c>
      <c r="CW46" s="76">
        <f>-V46+AR46</f>
        <v>0</v>
      </c>
      <c r="CX46" s="76">
        <f>CV46+CW46</f>
        <v>14171.100000000093</v>
      </c>
      <c r="CY46" s="76">
        <f>CX46-K46-L46</f>
        <v>-120828.8999999999</v>
      </c>
      <c r="CZ46" s="76">
        <f>BR46-BP46</f>
        <v>0</v>
      </c>
      <c r="DA46" s="76">
        <f>K46+L46</f>
        <v>135000</v>
      </c>
      <c r="DB46" s="76">
        <f>-CZ46+DA46+CY46</f>
        <v>14171.100000000093</v>
      </c>
      <c r="DC46" s="76">
        <f>-BP46-DA46</f>
        <v>-135000</v>
      </c>
      <c r="DD46" s="76">
        <f>DB46+DC46+BR46</f>
        <v>-120828.8999999999</v>
      </c>
      <c r="DE46" s="76">
        <f>Z46+AA46+AB46</f>
        <v>234972.25</v>
      </c>
      <c r="DF46" s="76">
        <f>CS46/B46</f>
        <v>-704.6047799696511</v>
      </c>
      <c r="DG46" s="76">
        <f>CH46/B46</f>
        <v>16.065705614567527</v>
      </c>
      <c r="DH46" s="76">
        <f>DE46/B46</f>
        <v>356.5588012139605</v>
      </c>
      <c r="DI46" s="77">
        <f>CZ46/B46</f>
        <v>0</v>
      </c>
      <c r="DJ46" s="72">
        <f>DB46/B46</f>
        <v>21.503945371775558</v>
      </c>
      <c r="DK46" s="151">
        <f>CA46-BW46-BU46</f>
        <v>-464334.55000000005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387</v>
      </c>
      <c r="C47" s="141"/>
      <c r="D47" s="141"/>
      <c r="E47" s="141"/>
      <c r="F47" s="141"/>
      <c r="G47" s="129">
        <f>160+1200+2000+1000+491.3-209.6</f>
        <v>4641.7</v>
      </c>
      <c r="H47" s="41">
        <f>300+1309.65+709+21865.55+3570+450+7282.4+44605.45+53.2+808.9+679.1</f>
        <v>81633.24999999999</v>
      </c>
      <c r="I47" s="41">
        <f>3366.2</f>
        <v>3366.2</v>
      </c>
      <c r="J47" s="41">
        <v>0</v>
      </c>
      <c r="K47" s="41">
        <v>38155</v>
      </c>
      <c r="L47" s="41">
        <v>0</v>
      </c>
      <c r="M47" s="41">
        <f>SUM(K47:L47)</f>
        <v>38155</v>
      </c>
      <c r="N47" s="41">
        <v>0</v>
      </c>
      <c r="O47" s="41">
        <f>103925.55+79562.3+10937.5+11135.7+800</f>
        <v>206361.05000000002</v>
      </c>
      <c r="P47" s="41">
        <f>7500</f>
        <v>7500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21871.95</v>
      </c>
      <c r="W47" s="41">
        <f>SUM(R47:V47)</f>
        <v>21871.95</v>
      </c>
      <c r="X47" s="41">
        <f>42000+2100+600+300</f>
        <v>45000</v>
      </c>
      <c r="Y47" s="41">
        <f>SUM(G47:X47)-M47-W47</f>
        <v>408529.14999999997</v>
      </c>
      <c r="Z47" s="41">
        <v>168803.1</v>
      </c>
      <c r="AA47" s="41">
        <v>0</v>
      </c>
      <c r="AB47" s="41">
        <v>0</v>
      </c>
      <c r="AC47" s="41">
        <v>378.05</v>
      </c>
      <c r="AD47" s="41">
        <v>0</v>
      </c>
      <c r="AE47" s="41">
        <f>SUM(Z47:AD47)</f>
        <v>169181.15</v>
      </c>
      <c r="AF47" s="41">
        <v>0</v>
      </c>
      <c r="AG47" s="41">
        <f>200+1320.6</f>
        <v>1520.6</v>
      </c>
      <c r="AH47" s="41">
        <v>0</v>
      </c>
      <c r="AI47" s="41">
        <v>23176.45</v>
      </c>
      <c r="AJ47" s="41">
        <v>11925.1</v>
      </c>
      <c r="AK47" s="41">
        <v>0</v>
      </c>
      <c r="AL47" s="41">
        <f>22302.75+26.6</f>
        <v>22329.35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f>18000+32400</f>
        <v>50400</v>
      </c>
      <c r="AU47" s="4">
        <f>SUM(Z47:AT47)-AE47-AH47-AS47</f>
        <v>278532.6499999999</v>
      </c>
      <c r="AV47" s="4">
        <v>0</v>
      </c>
      <c r="AW47" s="4">
        <f>129996.5</f>
        <v>129996.5</v>
      </c>
      <c r="AX47" s="4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v>47657</v>
      </c>
      <c r="BU47" s="4">
        <v>618450</v>
      </c>
      <c r="BV47" s="4">
        <v>0</v>
      </c>
      <c r="BW47" s="4">
        <v>129996.5</v>
      </c>
      <c r="BX47" s="4">
        <f>SUM(BT47:BW47)</f>
        <v>796103.5</v>
      </c>
      <c r="BY47" s="4">
        <v>738251.55</v>
      </c>
      <c r="BZ47" s="4">
        <v>0</v>
      </c>
      <c r="CA47" s="4">
        <v>57851.95</v>
      </c>
      <c r="CB47" s="4">
        <f>SUM(BY47:CA47)</f>
        <v>796103.5</v>
      </c>
      <c r="CC47" s="4">
        <f>BX47-CB47</f>
        <v>0</v>
      </c>
      <c r="CD47" s="70">
        <f>K47+L47+AV47-AW47</f>
        <v>-91841.5</v>
      </c>
      <c r="CE47" s="72">
        <f>CD47+W47-AS47</f>
        <v>-69969.55</v>
      </c>
      <c r="CF47" s="72">
        <f>BR47-BP47</f>
        <v>0</v>
      </c>
      <c r="CG47" s="72">
        <f>AU47-AM47-AT47-AS47</f>
        <v>228132.6499999999</v>
      </c>
      <c r="CH47" s="72">
        <f>I47-AG47+AY47+AH47+BQ47</f>
        <v>1845.6</v>
      </c>
      <c r="CI47" s="35">
        <f>CH47+K47</f>
        <v>40000.6</v>
      </c>
      <c r="CJ47" s="57" t="str">
        <f>IF(CF47=0,"-",(CD47/CF47))</f>
        <v>-</v>
      </c>
      <c r="CK47" s="57" t="str">
        <f>IF(CF47=0,"-",(CE47/CF47))</f>
        <v>-</v>
      </c>
      <c r="CL47" s="148">
        <f>IF(CG47=0,"-",(CD47/CG47*1))</f>
        <v>-0.4025793765162507</v>
      </c>
      <c r="CM47" s="148">
        <f>IF(CE47=0,"-",(CE47/CG47))</f>
        <v>-0.30670555047688275</v>
      </c>
      <c r="CN47" s="148">
        <f>IF(CG47=0,"-",(CH47/CG47))</f>
        <v>0.008090030076799619</v>
      </c>
      <c r="CO47" s="148">
        <f>IF(CG47=0,"-",(CI47/CG47))</f>
        <v>0.1753392160219066</v>
      </c>
      <c r="CP47" s="148">
        <f>IF(BU47+K47+L47=0,"-",((K47+L47)/(BU47+K47+L47)))</f>
        <v>0.058109517898888984</v>
      </c>
      <c r="CQ47" s="148">
        <f>IF(BU47+K47+L47=0,"-",((K47)/(BU47+K47+L47)))</f>
        <v>0.058109517898888984</v>
      </c>
      <c r="CR47" s="149">
        <f>IF(CE47=0,"-",(CS47/CE47))</f>
        <v>9.869929848055333</v>
      </c>
      <c r="CS47" s="72">
        <f>BT47-BY47</f>
        <v>-690594.55</v>
      </c>
      <c r="CT47" s="76">
        <f>Y47-K47-L47-V47</f>
        <v>348502.19999999995</v>
      </c>
      <c r="CU47" s="76">
        <f>AU47-AR47</f>
        <v>278532.6499999999</v>
      </c>
      <c r="CV47" s="76">
        <f>CU47-CT47</f>
        <v>-69969.55000000005</v>
      </c>
      <c r="CW47" s="76">
        <f>-V47+AR47</f>
        <v>-21871.95</v>
      </c>
      <c r="CX47" s="76">
        <f>CV47+CW47</f>
        <v>-91841.50000000004</v>
      </c>
      <c r="CY47" s="76">
        <f>CX47-K47-L47</f>
        <v>-129996.50000000004</v>
      </c>
      <c r="CZ47" s="76">
        <f>BR47-BP47</f>
        <v>0</v>
      </c>
      <c r="DA47" s="76">
        <f>K47+L47</f>
        <v>38155</v>
      </c>
      <c r="DB47" s="76">
        <f>-CZ47+DA47+CY47</f>
        <v>-91841.50000000004</v>
      </c>
      <c r="DC47" s="76">
        <f>-BP47-DA47</f>
        <v>-38155</v>
      </c>
      <c r="DD47" s="76">
        <f>DB47+DC47+BR47</f>
        <v>-129996.50000000004</v>
      </c>
      <c r="DE47" s="76">
        <f>Z47+AA47+AB47</f>
        <v>168803.1</v>
      </c>
      <c r="DF47" s="76">
        <f>CS47/B47</f>
        <v>-1784.4820413436694</v>
      </c>
      <c r="DG47" s="76">
        <f>CH47/B47</f>
        <v>4.768992248062015</v>
      </c>
      <c r="DH47" s="76">
        <f>DE47/B47</f>
        <v>436.1837209302326</v>
      </c>
      <c r="DI47" s="77">
        <f>CZ47/B47</f>
        <v>0</v>
      </c>
      <c r="DJ47" s="72">
        <f>DB47/B47</f>
        <v>-237.31653746770039</v>
      </c>
      <c r="DK47" s="151">
        <f>CA47-BW47-BU47</f>
        <v>-690594.55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746</v>
      </c>
      <c r="C48" s="141"/>
      <c r="D48" s="141"/>
      <c r="E48" s="141"/>
      <c r="F48" s="141"/>
      <c r="G48" s="129">
        <v>495235.3</v>
      </c>
      <c r="H48" s="41">
        <v>154966.7</v>
      </c>
      <c r="I48" s="41">
        <v>13439.8</v>
      </c>
      <c r="J48" s="41">
        <v>0</v>
      </c>
      <c r="K48" s="41">
        <v>165787.95</v>
      </c>
      <c r="L48" s="41">
        <v>0</v>
      </c>
      <c r="M48" s="41">
        <f>SUM(K48:L48)</f>
        <v>165787.95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829429.75</v>
      </c>
      <c r="Z48" s="41">
        <v>303779.55</v>
      </c>
      <c r="AA48" s="41">
        <v>182484.85</v>
      </c>
      <c r="AB48" s="41">
        <v>0</v>
      </c>
      <c r="AC48" s="41">
        <v>1572.6</v>
      </c>
      <c r="AD48" s="41">
        <v>0</v>
      </c>
      <c r="AE48" s="41">
        <f>SUM(Z48:AD48)</f>
        <v>487837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487837</v>
      </c>
      <c r="AV48" s="4">
        <v>0</v>
      </c>
      <c r="AW48" s="4">
        <v>341592.75</v>
      </c>
      <c r="AX48" s="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123663.42</v>
      </c>
      <c r="BU48" s="4">
        <v>0</v>
      </c>
      <c r="BV48" s="4">
        <v>0</v>
      </c>
      <c r="BW48" s="4">
        <v>341592.75</v>
      </c>
      <c r="BX48" s="4">
        <f>SUM(BT48:BW48)</f>
        <v>465256.17</v>
      </c>
      <c r="BY48" s="4">
        <v>362193.8</v>
      </c>
      <c r="BZ48" s="4">
        <v>0</v>
      </c>
      <c r="CA48" s="4">
        <v>103062.37</v>
      </c>
      <c r="CB48" s="4">
        <f>SUM(BY48:CA48)</f>
        <v>465256.17</v>
      </c>
      <c r="CC48" s="4">
        <f>BX48-CB48</f>
        <v>0</v>
      </c>
      <c r="CD48" s="70">
        <f>K48+L48+AV48-AW48</f>
        <v>-175804.8</v>
      </c>
      <c r="CE48" s="72">
        <f>CD48+W48-AS48</f>
        <v>-175804.8</v>
      </c>
      <c r="CF48" s="72">
        <f>BR48-BP48</f>
        <v>0</v>
      </c>
      <c r="CG48" s="72">
        <f>AU48-AM48-AT48-AS48</f>
        <v>487837</v>
      </c>
      <c r="CH48" s="72">
        <f>I48-AG48+AY48+AH48+BQ48</f>
        <v>13439.8</v>
      </c>
      <c r="CI48" s="35">
        <f>CH48+K48</f>
        <v>179227.75</v>
      </c>
      <c r="CJ48" s="57" t="str">
        <f>IF(CF48=0,"-",(CD48/CF48))</f>
        <v>-</v>
      </c>
      <c r="CK48" s="57" t="str">
        <f>IF(CF48=0,"-",(CE48/CF48))</f>
        <v>-</v>
      </c>
      <c r="CL48" s="148">
        <f>IF(CG48=0,"-",(CD48/CG48*1))</f>
        <v>-0.36037610923320695</v>
      </c>
      <c r="CM48" s="148">
        <f>IF(CE48=0,"-",(CE48/CG48))</f>
        <v>-0.36037610923320695</v>
      </c>
      <c r="CN48" s="148">
        <f>IF(CG48=0,"-",(CH48/CG48))</f>
        <v>0.027549775847260455</v>
      </c>
      <c r="CO48" s="148">
        <f>IF(CG48=0,"-",(CI48/CG48))</f>
        <v>0.36739269469105457</v>
      </c>
      <c r="CP48" s="148">
        <f>IF(BU48+K48+L48=0,"-",((K48+L48)/(BU48+K48+L48)))</f>
        <v>1</v>
      </c>
      <c r="CQ48" s="148">
        <f>IF(BU48+K48+L48=0,"-",((K48)/(BU48+K48+L48)))</f>
        <v>1</v>
      </c>
      <c r="CR48" s="149">
        <f>IF(CE48=0,"-",(CS48/CE48))</f>
        <v>1.3567910546242197</v>
      </c>
      <c r="CS48" s="72">
        <f>BT48-BY48</f>
        <v>-238530.38</v>
      </c>
      <c r="CT48" s="76">
        <f>Y48-K48-L48-V48</f>
        <v>663641.8</v>
      </c>
      <c r="CU48" s="76">
        <f>AU48-AR48</f>
        <v>487837</v>
      </c>
      <c r="CV48" s="76">
        <f>CU48-CT48</f>
        <v>-175804.80000000005</v>
      </c>
      <c r="CW48" s="76">
        <f>-V48+AR48</f>
        <v>0</v>
      </c>
      <c r="CX48" s="76">
        <f>CV48+CW48</f>
        <v>-175804.80000000005</v>
      </c>
      <c r="CY48" s="76">
        <f>CX48-K48-L48</f>
        <v>-341592.75000000006</v>
      </c>
      <c r="CZ48" s="76">
        <f>BR48-BP48</f>
        <v>0</v>
      </c>
      <c r="DA48" s="76">
        <f>K48+L48</f>
        <v>165787.95</v>
      </c>
      <c r="DB48" s="76">
        <f>-CZ48+DA48+CY48</f>
        <v>-175804.80000000005</v>
      </c>
      <c r="DC48" s="76">
        <f>-BP48-DA48</f>
        <v>-165787.95</v>
      </c>
      <c r="DD48" s="76">
        <f>DB48+DC48+BR48</f>
        <v>-341592.75000000006</v>
      </c>
      <c r="DE48" s="76">
        <f>Z48+AA48+AB48</f>
        <v>486264.4</v>
      </c>
      <c r="DF48" s="76">
        <f>CS48/B48</f>
        <v>-319.74581769437</v>
      </c>
      <c r="DG48" s="147">
        <f>CH48/B48</f>
        <v>18.01581769436997</v>
      </c>
      <c r="DH48" s="76">
        <f>DE48/B48</f>
        <v>651.8289544235926</v>
      </c>
      <c r="DI48" s="77">
        <f>CZ48/B48</f>
        <v>0</v>
      </c>
      <c r="DJ48" s="72">
        <f>DB48/B48</f>
        <v>-235.66327077747997</v>
      </c>
      <c r="DK48" s="151">
        <f>CA48-BW48-BU48</f>
        <v>-238530.38</v>
      </c>
      <c r="DL48" s="72">
        <v>19</v>
      </c>
      <c r="DM48" s="72">
        <v>89</v>
      </c>
      <c r="DN48" s="63">
        <v>0</v>
      </c>
    </row>
    <row r="49" spans="1:118" ht="12.75">
      <c r="A49" s="3" t="s">
        <v>255</v>
      </c>
      <c r="B49" s="134">
        <f>B8+B17</f>
        <v>1046</v>
      </c>
      <c r="C49" s="141"/>
      <c r="D49" s="141"/>
      <c r="E49" s="141"/>
      <c r="F49" s="141"/>
      <c r="G49" s="129">
        <v>731292.6</v>
      </c>
      <c r="H49" s="41">
        <v>115696.95</v>
      </c>
      <c r="I49" s="41">
        <v>14292.85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9550.7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9115.05</v>
      </c>
      <c r="Y49" s="41">
        <f>SUM(G49:X49)-M49-W49</f>
        <v>879948.1499999999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4100.7</v>
      </c>
      <c r="AJ49" s="41">
        <v>363282.8</v>
      </c>
      <c r="AK49" s="41">
        <v>210087.5</v>
      </c>
      <c r="AL49" s="41">
        <v>286672.1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15805</v>
      </c>
      <c r="AU49" s="4">
        <f>SUM(Z49:AT49)-AE49-AH49-AS49</f>
        <v>879948.1</v>
      </c>
      <c r="AV49" s="4">
        <v>0</v>
      </c>
      <c r="AW49" s="4">
        <v>0</v>
      </c>
      <c r="AX49" s="4">
        <f>Y49-AU49+AV49-AW49</f>
        <v>0.04999999993015081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0</v>
      </c>
      <c r="BU49" s="4">
        <v>0</v>
      </c>
      <c r="BV49" s="4">
        <v>0</v>
      </c>
      <c r="BW49" s="4">
        <v>0</v>
      </c>
      <c r="BX49" s="4">
        <f>SUM(BT49:BW49)</f>
        <v>0</v>
      </c>
      <c r="BY49" s="4">
        <v>0</v>
      </c>
      <c r="BZ49" s="4">
        <v>0</v>
      </c>
      <c r="CA49" s="4">
        <v>0</v>
      </c>
      <c r="CB49" s="4">
        <f>SUM(BY49:CA49)</f>
        <v>0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864143.1</v>
      </c>
      <c r="CH49" s="72">
        <f>I49-AG49+AY49+AH49+BQ49</f>
        <v>14292.85</v>
      </c>
      <c r="CI49" s="35">
        <f>CH49+K49</f>
        <v>14292.85</v>
      </c>
      <c r="CJ49" s="57" t="str">
        <f>IF(CF49=0,"-",(CD49/CF49))</f>
        <v>-</v>
      </c>
      <c r="CK49" s="57" t="str">
        <f>IF(CF49=0,"-",(CE49/CF49))</f>
        <v>-</v>
      </c>
      <c r="CL49" s="148">
        <f>IF(CG49=0,"-",(CD49/CG49*1))</f>
        <v>0</v>
      </c>
      <c r="CM49" s="148" t="str">
        <f>IF(CE49=0,"-",(CE49/CG49))</f>
        <v>-</v>
      </c>
      <c r="CN49" s="148">
        <f>IF(CG49=0,"-",(CH49/CG49))</f>
        <v>0.01653991104019693</v>
      </c>
      <c r="CO49" s="148">
        <f>IF(CG49=0,"-",(CI49/CG49))</f>
        <v>0.01653991104019693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0</v>
      </c>
      <c r="CT49" s="76">
        <f>Y49-K49-L49-V49</f>
        <v>879948.1499999999</v>
      </c>
      <c r="CU49" s="76">
        <f>AU49-AR49</f>
        <v>879948.1</v>
      </c>
      <c r="CV49" s="76">
        <f>CU49-CT49</f>
        <v>-0.04999999993015081</v>
      </c>
      <c r="CW49" s="76">
        <f>-V49+AR49</f>
        <v>0</v>
      </c>
      <c r="CX49" s="76">
        <f>CV49+CW49</f>
        <v>-0.04999999993015081</v>
      </c>
      <c r="CY49" s="76">
        <f>CX49-K49-L49</f>
        <v>-0.04999999993015081</v>
      </c>
      <c r="CZ49" s="76">
        <f>BR49-BP49</f>
        <v>0</v>
      </c>
      <c r="DA49" s="76">
        <f>K49+L49</f>
        <v>0</v>
      </c>
      <c r="DB49" s="76">
        <f>-CZ49+DA49+CY49</f>
        <v>-0.04999999993015081</v>
      </c>
      <c r="DC49" s="76">
        <f>-BP49-DA49</f>
        <v>0</v>
      </c>
      <c r="DD49" s="76">
        <f>DB49+DC49+BR49</f>
        <v>-0.04999999993015081</v>
      </c>
      <c r="DE49" s="76">
        <f>Z49+AA49+AB49</f>
        <v>0</v>
      </c>
      <c r="DF49" s="76">
        <f>CS49/B49</f>
        <v>0</v>
      </c>
      <c r="DG49" s="76">
        <f>CH49/B49</f>
        <v>13.664292543021032</v>
      </c>
      <c r="DH49" s="76">
        <f>DE49/B49</f>
        <v>0</v>
      </c>
      <c r="DI49" s="77">
        <f>CZ49/B49</f>
        <v>0</v>
      </c>
      <c r="DJ49" s="72">
        <f>DB49/B49</f>
        <v>-4.780114716075603E-05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1792</v>
      </c>
      <c r="C50" s="141"/>
      <c r="D50" s="141"/>
      <c r="E50" s="141"/>
      <c r="F50" s="141"/>
      <c r="G50" s="129">
        <v>1034726.85</v>
      </c>
      <c r="H50" s="41">
        <v>127953.75</v>
      </c>
      <c r="I50" s="41">
        <v>16422.75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1486.05</v>
      </c>
      <c r="Y50" s="41">
        <f>SUM(G50:X50)-M50-W50</f>
        <v>1180589.4000000001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374.7</v>
      </c>
      <c r="AJ50" s="41">
        <v>345983.6</v>
      </c>
      <c r="AK50" s="41">
        <v>365687.6</v>
      </c>
      <c r="AL50" s="41">
        <v>468543.5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1180589.4</v>
      </c>
      <c r="AV50" s="4">
        <v>0</v>
      </c>
      <c r="AW50" s="4">
        <v>0</v>
      </c>
      <c r="AX50" s="4">
        <f>Y50-AU50+AV50-AW50</f>
        <v>2.3283064365386963E-10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0</v>
      </c>
      <c r="BU50" s="4">
        <v>0</v>
      </c>
      <c r="BV50" s="4">
        <v>0</v>
      </c>
      <c r="BW50" s="4">
        <v>0</v>
      </c>
      <c r="BX50" s="4">
        <f>SUM(BT50:BW50)</f>
        <v>0</v>
      </c>
      <c r="BY50" s="4">
        <v>0</v>
      </c>
      <c r="BZ50" s="4">
        <v>0</v>
      </c>
      <c r="CA50" s="4">
        <v>0</v>
      </c>
      <c r="CB50" s="4">
        <f>SUM(BY50:CA50)</f>
        <v>0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1180589.4</v>
      </c>
      <c r="CH50" s="72">
        <f>I50-AG50+AY50+AH50+BQ50</f>
        <v>16422.75</v>
      </c>
      <c r="CI50" s="35">
        <f>CH50+K50</f>
        <v>16422.75</v>
      </c>
      <c r="CJ50" s="57" t="str">
        <f>IF(CF50=0,"-",(CD50/CF50))</f>
        <v>-</v>
      </c>
      <c r="CK50" s="57" t="str">
        <f>IF(CF50=0,"-",(CE50/CF50))</f>
        <v>-</v>
      </c>
      <c r="CL50" s="148">
        <f>IF(CG50=0,"-",(CD50/CG50*1))</f>
        <v>0</v>
      </c>
      <c r="CM50" s="148" t="str">
        <f>IF(CE50=0,"-",(CE50/CG50))</f>
        <v>-</v>
      </c>
      <c r="CN50" s="148">
        <f>IF(CG50=0,"-",(CH50/CG50))</f>
        <v>0.013910636500717355</v>
      </c>
      <c r="CO50" s="148">
        <f>IF(CG50=0,"-",(CI50/CG50))</f>
        <v>0.013910636500717355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0</v>
      </c>
      <c r="CT50" s="76">
        <f>Y50-K50-L50-V50</f>
        <v>1180589.4000000001</v>
      </c>
      <c r="CU50" s="76">
        <f>AU50-AR50</f>
        <v>1180589.4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>
        <f>CS50/B50</f>
        <v>0</v>
      </c>
      <c r="DG50" s="76">
        <f>CH50/B50</f>
        <v>9.164481026785714</v>
      </c>
      <c r="DH50" s="76">
        <f>DE50/B50</f>
        <v>0</v>
      </c>
      <c r="DI50" s="77">
        <f>CZ50/B50</f>
        <v>0</v>
      </c>
      <c r="DJ50" s="72">
        <f>DB50/B50</f>
        <v>0</v>
      </c>
      <c r="DK50" s="151">
        <f>CA50-BW50-BU50</f>
        <v>0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1389</v>
      </c>
      <c r="C60" s="60">
        <f aca="true" t="shared" si="113" ref="C60:BN60">C10+C20+C26</f>
        <v>3351835</v>
      </c>
      <c r="D60" s="60">
        <f>(D10+D20+D26)/3</f>
        <v>2431.28</v>
      </c>
      <c r="E60" s="60">
        <f>(E10+E20+E26)/3</f>
        <v>73.29666666666667</v>
      </c>
      <c r="F60" s="60">
        <f>(F10+F20+F26)/3</f>
        <v>10</v>
      </c>
      <c r="G60" s="18">
        <f t="shared" si="113"/>
        <v>1108382.6</v>
      </c>
      <c r="H60" s="18">
        <f t="shared" si="113"/>
        <v>248508.55</v>
      </c>
      <c r="I60" s="18">
        <f t="shared" si="113"/>
        <v>121037.45</v>
      </c>
      <c r="J60" s="18">
        <f t="shared" si="113"/>
        <v>0</v>
      </c>
      <c r="K60" s="18">
        <f t="shared" si="113"/>
        <v>192086.2</v>
      </c>
      <c r="L60" s="18">
        <f t="shared" si="113"/>
        <v>0</v>
      </c>
      <c r="M60" s="18">
        <f t="shared" si="113"/>
        <v>192086.2</v>
      </c>
      <c r="N60" s="18">
        <f t="shared" si="113"/>
        <v>0</v>
      </c>
      <c r="O60" s="18">
        <f t="shared" si="113"/>
        <v>346816.60000000003</v>
      </c>
      <c r="P60" s="18">
        <f t="shared" si="113"/>
        <v>5500</v>
      </c>
      <c r="Q60" s="18">
        <f t="shared" si="113"/>
        <v>0</v>
      </c>
      <c r="R60" s="18">
        <f t="shared" si="113"/>
        <v>0</v>
      </c>
      <c r="S60" s="18">
        <f t="shared" si="113"/>
        <v>0</v>
      </c>
      <c r="T60" s="18">
        <f t="shared" si="113"/>
        <v>0</v>
      </c>
      <c r="U60" s="18">
        <f t="shared" si="113"/>
        <v>0</v>
      </c>
      <c r="V60" s="18">
        <f t="shared" si="113"/>
        <v>0</v>
      </c>
      <c r="W60" s="18">
        <f t="shared" si="113"/>
        <v>0</v>
      </c>
      <c r="X60" s="18">
        <f t="shared" si="113"/>
        <v>0</v>
      </c>
      <c r="Y60" s="18">
        <f t="shared" si="113"/>
        <v>2022331.3999999997</v>
      </c>
      <c r="Z60" s="18">
        <f t="shared" si="113"/>
        <v>435909.19999999995</v>
      </c>
      <c r="AA60" s="18">
        <f t="shared" si="113"/>
        <v>21045.25</v>
      </c>
      <c r="AB60" s="18">
        <f t="shared" si="113"/>
        <v>0</v>
      </c>
      <c r="AC60" s="18">
        <f t="shared" si="113"/>
        <v>13182</v>
      </c>
      <c r="AD60" s="18">
        <f t="shared" si="113"/>
        <v>0</v>
      </c>
      <c r="AE60" s="18">
        <f t="shared" si="113"/>
        <v>470136.45</v>
      </c>
      <c r="AF60" s="18">
        <f t="shared" si="113"/>
        <v>0</v>
      </c>
      <c r="AG60" s="18">
        <f t="shared" si="113"/>
        <v>4989.2</v>
      </c>
      <c r="AH60" s="18">
        <f t="shared" si="113"/>
        <v>0</v>
      </c>
      <c r="AI60" s="18">
        <f t="shared" si="113"/>
        <v>23581.9</v>
      </c>
      <c r="AJ60" s="18">
        <f t="shared" si="113"/>
        <v>765983.8</v>
      </c>
      <c r="AK60" s="18">
        <f t="shared" si="113"/>
        <v>44853.45</v>
      </c>
      <c r="AL60" s="18">
        <f t="shared" si="113"/>
        <v>585000.75</v>
      </c>
      <c r="AM60" s="18">
        <f t="shared" si="113"/>
        <v>0</v>
      </c>
      <c r="AN60" s="18">
        <f t="shared" si="113"/>
        <v>0</v>
      </c>
      <c r="AO60" s="18">
        <f t="shared" si="113"/>
        <v>0</v>
      </c>
      <c r="AP60" s="18">
        <f t="shared" si="113"/>
        <v>0</v>
      </c>
      <c r="AQ60" s="18">
        <f t="shared" si="113"/>
        <v>0</v>
      </c>
      <c r="AR60" s="18">
        <f t="shared" si="113"/>
        <v>0</v>
      </c>
      <c r="AS60" s="18">
        <f t="shared" si="113"/>
        <v>0</v>
      </c>
      <c r="AT60" s="18">
        <f t="shared" si="113"/>
        <v>0</v>
      </c>
      <c r="AU60" s="18">
        <f t="shared" si="113"/>
        <v>1894545.55</v>
      </c>
      <c r="AV60" s="18">
        <f t="shared" si="113"/>
        <v>0</v>
      </c>
      <c r="AW60" s="18">
        <f t="shared" si="113"/>
        <v>127785.84999999999</v>
      </c>
      <c r="AX60" s="18">
        <f t="shared" si="113"/>
        <v>-1.6279955161735415E-10</v>
      </c>
      <c r="AY60" s="18">
        <f t="shared" si="113"/>
        <v>0</v>
      </c>
      <c r="AZ60" s="18">
        <f t="shared" si="113"/>
        <v>0</v>
      </c>
      <c r="BA60" s="18">
        <f t="shared" si="113"/>
        <v>0</v>
      </c>
      <c r="BB60" s="18">
        <f t="shared" si="113"/>
        <v>0</v>
      </c>
      <c r="BC60" s="18">
        <f t="shared" si="113"/>
        <v>0</v>
      </c>
      <c r="BD60" s="18">
        <f t="shared" si="113"/>
        <v>0</v>
      </c>
      <c r="BE60" s="18">
        <f t="shared" si="113"/>
        <v>0</v>
      </c>
      <c r="BF60" s="18">
        <f t="shared" si="113"/>
        <v>0</v>
      </c>
      <c r="BG60" s="18">
        <f t="shared" si="113"/>
        <v>0</v>
      </c>
      <c r="BH60" s="18">
        <f t="shared" si="113"/>
        <v>0</v>
      </c>
      <c r="BI60" s="18">
        <f t="shared" si="113"/>
        <v>0</v>
      </c>
      <c r="BJ60" s="18">
        <f t="shared" si="113"/>
        <v>0</v>
      </c>
      <c r="BK60" s="18">
        <f t="shared" si="113"/>
        <v>0</v>
      </c>
      <c r="BL60" s="18">
        <f t="shared" si="113"/>
        <v>0</v>
      </c>
      <c r="BM60" s="18">
        <f t="shared" si="113"/>
        <v>0</v>
      </c>
      <c r="BN60" s="18">
        <f t="shared" si="113"/>
        <v>0</v>
      </c>
      <c r="BO60" s="18">
        <f aca="true" t="shared" si="114" ref="BO60:CI60">BO10+BO20+BO26</f>
        <v>0</v>
      </c>
      <c r="BP60" s="18">
        <f t="shared" si="114"/>
        <v>0</v>
      </c>
      <c r="BQ60" s="18">
        <f t="shared" si="114"/>
        <v>0</v>
      </c>
      <c r="BR60" s="18">
        <f t="shared" si="114"/>
        <v>0</v>
      </c>
      <c r="BS60" s="18">
        <f t="shared" si="114"/>
        <v>0</v>
      </c>
      <c r="BT60" s="18">
        <f t="shared" si="114"/>
        <v>1041586.3500000001</v>
      </c>
      <c r="BU60" s="18">
        <f t="shared" si="114"/>
        <v>2327210.6</v>
      </c>
      <c r="BV60" s="18">
        <f t="shared" si="114"/>
        <v>0</v>
      </c>
      <c r="BW60" s="18">
        <f t="shared" si="114"/>
        <v>449565.52</v>
      </c>
      <c r="BX60" s="18">
        <f t="shared" si="114"/>
        <v>3818362.4700000007</v>
      </c>
      <c r="BY60" s="18">
        <f t="shared" si="114"/>
        <v>3798244.82</v>
      </c>
      <c r="BZ60" s="18">
        <f t="shared" si="114"/>
        <v>0</v>
      </c>
      <c r="CA60" s="18">
        <f t="shared" si="114"/>
        <v>20117.65</v>
      </c>
      <c r="CB60" s="18">
        <f t="shared" si="114"/>
        <v>3818362.4699999997</v>
      </c>
      <c r="CC60" s="18">
        <f t="shared" si="114"/>
        <v>0</v>
      </c>
      <c r="CD60" s="18">
        <f t="shared" si="114"/>
        <v>64300.350000000006</v>
      </c>
      <c r="CE60" s="18">
        <f t="shared" si="114"/>
        <v>64300.350000000006</v>
      </c>
      <c r="CF60" s="18">
        <f t="shared" si="114"/>
        <v>0</v>
      </c>
      <c r="CG60" s="18">
        <f t="shared" si="114"/>
        <v>1894545.55</v>
      </c>
      <c r="CH60" s="18">
        <f t="shared" si="114"/>
        <v>116048.24999999999</v>
      </c>
      <c r="CI60" s="18">
        <f t="shared" si="114"/>
        <v>308134.45</v>
      </c>
      <c r="CJ60" s="156" t="e">
        <f aca="true" t="shared" si="115" ref="CJ60:CJ65">CD60/CF60</f>
        <v>#DIV/0!</v>
      </c>
      <c r="CK60" s="156" t="e">
        <f aca="true" t="shared" si="116" ref="CK60:CK65">CE60/CF60</f>
        <v>#DIV/0!</v>
      </c>
      <c r="CL60" s="156">
        <f aca="true" t="shared" si="117" ref="CL60:CL65">CD60/CG60*1</f>
        <v>0.03393972237827694</v>
      </c>
      <c r="CM60" s="156">
        <f aca="true" t="shared" si="118" ref="CM60:CM65">CE60/CG60</f>
        <v>0.03393972237827694</v>
      </c>
      <c r="CN60" s="156">
        <f aca="true" t="shared" si="119" ref="CN60:CN65">CH60/CG60</f>
        <v>0.06125387167386922</v>
      </c>
      <c r="CO60" s="156">
        <f aca="true" t="shared" si="120" ref="CO60:CO65">CI60/CG60</f>
        <v>0.16264293566338375</v>
      </c>
      <c r="CP60" s="156">
        <f aca="true" t="shared" si="121" ref="CP60:CP65">(K60+L60)/(BU60+K60+L60)</f>
        <v>0.07624595879294571</v>
      </c>
      <c r="CQ60" s="156">
        <f aca="true" t="shared" si="122" ref="CQ60:CQ65">(K60)/(BU60+K60+L60)</f>
        <v>0.07624595879294571</v>
      </c>
      <c r="CR60" s="18">
        <f aca="true" t="shared" si="123" ref="CR60:CR65">CS60/CE60</f>
        <v>-42.8715935449807</v>
      </c>
      <c r="CS60" s="18">
        <f aca="true" t="shared" si="124" ref="CS60:CS65">BT60-BY60</f>
        <v>-2756658.4699999997</v>
      </c>
      <c r="CT60" s="18">
        <f aca="true" t="shared" si="125" ref="CT60:CT65">Y60-K60-L60-V60</f>
        <v>1830245.1999999997</v>
      </c>
      <c r="CU60" s="18">
        <f aca="true" t="shared" si="126" ref="CU60:CU65">AU60-AR60</f>
        <v>1894545.55</v>
      </c>
      <c r="CV60" s="18">
        <f aca="true" t="shared" si="127" ref="CV60:CV65">CU60-CT60</f>
        <v>64300.350000000326</v>
      </c>
      <c r="CW60" s="18">
        <f aca="true" t="shared" si="128" ref="CW60:CW65">-V60+AR60</f>
        <v>0</v>
      </c>
      <c r="CX60" s="18">
        <f aca="true" t="shared" si="129" ref="CX60:CX65">CV60+CW60</f>
        <v>64300.350000000326</v>
      </c>
      <c r="CY60" s="18">
        <f aca="true" t="shared" si="130" ref="CY60:CY65">CX60-K60-L60</f>
        <v>-127785.84999999969</v>
      </c>
      <c r="CZ60" s="18">
        <f aca="true" t="shared" si="131" ref="CZ60:CZ65">BR60-BP60</f>
        <v>0</v>
      </c>
      <c r="DA60" s="18">
        <f aca="true" t="shared" si="132" ref="DA60:DA65">K60+L60</f>
        <v>192086.2</v>
      </c>
      <c r="DB60" s="18">
        <f aca="true" t="shared" si="133" ref="DB60:DB65">-CZ60+DA60+CY60</f>
        <v>64300.350000000326</v>
      </c>
      <c r="DC60" s="18">
        <f aca="true" t="shared" si="134" ref="DC60:DC65">-BP60-DA60</f>
        <v>-192086.2</v>
      </c>
      <c r="DD60" s="18">
        <f aca="true" t="shared" si="135" ref="DD60:DD65">DB60+DC60+BR60</f>
        <v>-127785.84999999969</v>
      </c>
      <c r="DE60" s="18">
        <f aca="true" t="shared" si="136" ref="DE60:DE65">Z60+AA60+AB60</f>
        <v>456954.44999999995</v>
      </c>
      <c r="DF60" s="18">
        <f aca="true" t="shared" si="137" ref="DF60:DF65">CS60/B60</f>
        <v>-1984.6353275737938</v>
      </c>
      <c r="DG60" s="18">
        <f aca="true" t="shared" si="138" ref="DG60:DG65">CH60/B60</f>
        <v>83.54805615550755</v>
      </c>
      <c r="DH60" s="18">
        <f aca="true" t="shared" si="139" ref="DH60:DH65">DE60/B60</f>
        <v>328.98088552915766</v>
      </c>
      <c r="DI60" s="18">
        <f aca="true" t="shared" si="140" ref="DI60:DI65">CZ60/B60</f>
        <v>0</v>
      </c>
      <c r="DJ60" s="18">
        <f aca="true" t="shared" si="141" ref="DJ60:DJ65">DB60/B60</f>
        <v>46.292548596112546</v>
      </c>
      <c r="DK60" s="18">
        <f aca="true" t="shared" si="142" ref="DK60:DK65">CA60-BW60-BU60</f>
        <v>-2756658.47</v>
      </c>
    </row>
    <row r="61" spans="1:115" ht="12.75">
      <c r="A61" s="3" t="s">
        <v>260</v>
      </c>
      <c r="B61" s="60">
        <f>B4+B19+B21+B24+B25</f>
        <v>14287</v>
      </c>
      <c r="C61" s="60">
        <f aca="true" t="shared" si="143" ref="C61:BN61">C4+C19+C21+C24+C25</f>
        <v>46009683</v>
      </c>
      <c r="D61" s="60">
        <f>(D4+D19+D21+D24+D25)/5</f>
        <v>3028.5620000000004</v>
      </c>
      <c r="E61" s="60">
        <f>(E4+E19+E21+E24+E25)/5</f>
        <v>91.30600000000001</v>
      </c>
      <c r="F61" s="60">
        <f>(F4+F19+F21+F24+F25)/5</f>
        <v>11.8</v>
      </c>
      <c r="G61" s="18">
        <f t="shared" si="143"/>
        <v>12843300.899999999</v>
      </c>
      <c r="H61" s="18">
        <f t="shared" si="143"/>
        <v>2235020.68</v>
      </c>
      <c r="I61" s="18">
        <f t="shared" si="143"/>
        <v>797893.95</v>
      </c>
      <c r="J61" s="18">
        <f t="shared" si="143"/>
        <v>0</v>
      </c>
      <c r="K61" s="18">
        <f t="shared" si="143"/>
        <v>854460</v>
      </c>
      <c r="L61" s="18">
        <f t="shared" si="143"/>
        <v>816794</v>
      </c>
      <c r="M61" s="18">
        <f t="shared" si="143"/>
        <v>1671254</v>
      </c>
      <c r="N61" s="18">
        <f t="shared" si="143"/>
        <v>2049.15</v>
      </c>
      <c r="O61" s="18">
        <f t="shared" si="143"/>
        <v>1930275.15</v>
      </c>
      <c r="P61" s="18">
        <f t="shared" si="143"/>
        <v>9557.2</v>
      </c>
      <c r="Q61" s="18">
        <f t="shared" si="143"/>
        <v>2936</v>
      </c>
      <c r="R61" s="18">
        <f t="shared" si="143"/>
        <v>0</v>
      </c>
      <c r="S61" s="18">
        <f t="shared" si="143"/>
        <v>0</v>
      </c>
      <c r="T61" s="18">
        <f t="shared" si="143"/>
        <v>0</v>
      </c>
      <c r="U61" s="18">
        <f t="shared" si="143"/>
        <v>0</v>
      </c>
      <c r="V61" s="18">
        <f t="shared" si="143"/>
        <v>0</v>
      </c>
      <c r="W61" s="18">
        <f t="shared" si="143"/>
        <v>0</v>
      </c>
      <c r="X61" s="18">
        <f t="shared" si="143"/>
        <v>3286176.2800000003</v>
      </c>
      <c r="Y61" s="18">
        <f t="shared" si="143"/>
        <v>22778463.31</v>
      </c>
      <c r="Z61" s="18">
        <f t="shared" si="143"/>
        <v>4690811.65</v>
      </c>
      <c r="AA61" s="18">
        <f t="shared" si="143"/>
        <v>1689417.3</v>
      </c>
      <c r="AB61" s="18">
        <f t="shared" si="143"/>
        <v>13926.6</v>
      </c>
      <c r="AC61" s="18">
        <f t="shared" si="143"/>
        <v>44918.6</v>
      </c>
      <c r="AD61" s="18">
        <f t="shared" si="143"/>
        <v>0</v>
      </c>
      <c r="AE61" s="18">
        <f t="shared" si="143"/>
        <v>6439074.15</v>
      </c>
      <c r="AF61" s="18">
        <f t="shared" si="143"/>
        <v>0</v>
      </c>
      <c r="AG61" s="18">
        <f t="shared" si="143"/>
        <v>53066.3</v>
      </c>
      <c r="AH61" s="18">
        <f t="shared" si="143"/>
        <v>0</v>
      </c>
      <c r="AI61" s="18">
        <f t="shared" si="143"/>
        <v>215120.75</v>
      </c>
      <c r="AJ61" s="18">
        <f t="shared" si="143"/>
        <v>6305401.8</v>
      </c>
      <c r="AK61" s="18">
        <f t="shared" si="143"/>
        <v>842140.45</v>
      </c>
      <c r="AL61" s="18">
        <f t="shared" si="143"/>
        <v>5565472.199999999</v>
      </c>
      <c r="AM61" s="18">
        <f t="shared" si="143"/>
        <v>1042.4</v>
      </c>
      <c r="AN61" s="18">
        <f t="shared" si="143"/>
        <v>0</v>
      </c>
      <c r="AO61" s="18">
        <f t="shared" si="143"/>
        <v>0</v>
      </c>
      <c r="AP61" s="18">
        <f t="shared" si="143"/>
        <v>0</v>
      </c>
      <c r="AQ61" s="18">
        <f t="shared" si="143"/>
        <v>0</v>
      </c>
      <c r="AR61" s="18">
        <f t="shared" si="143"/>
        <v>0</v>
      </c>
      <c r="AS61" s="18">
        <f t="shared" si="143"/>
        <v>0</v>
      </c>
      <c r="AT61" s="18">
        <f t="shared" si="143"/>
        <v>3379928.08</v>
      </c>
      <c r="AU61" s="18">
        <f t="shared" si="143"/>
        <v>22801246.130000003</v>
      </c>
      <c r="AV61" s="18">
        <f t="shared" si="143"/>
        <v>273667.8</v>
      </c>
      <c r="AW61" s="18">
        <f t="shared" si="143"/>
        <v>250884.98</v>
      </c>
      <c r="AX61" s="18">
        <f t="shared" si="143"/>
        <v>-8.549250196665525E-10</v>
      </c>
      <c r="AY61" s="18">
        <f t="shared" si="143"/>
        <v>37538.9</v>
      </c>
      <c r="AZ61" s="18">
        <f t="shared" si="143"/>
        <v>2075827.65</v>
      </c>
      <c r="BA61" s="18">
        <f t="shared" si="143"/>
        <v>0</v>
      </c>
      <c r="BB61" s="18">
        <f t="shared" si="143"/>
        <v>0</v>
      </c>
      <c r="BC61" s="18">
        <f t="shared" si="143"/>
        <v>0</v>
      </c>
      <c r="BD61" s="18">
        <f t="shared" si="143"/>
        <v>2351.8</v>
      </c>
      <c r="BE61" s="18">
        <f t="shared" si="143"/>
        <v>0</v>
      </c>
      <c r="BF61" s="18">
        <f t="shared" si="143"/>
        <v>2078179.45</v>
      </c>
      <c r="BG61" s="18">
        <f t="shared" si="143"/>
        <v>41427.2</v>
      </c>
      <c r="BH61" s="18">
        <f t="shared" si="143"/>
        <v>0</v>
      </c>
      <c r="BI61" s="18">
        <f t="shared" si="143"/>
        <v>3460</v>
      </c>
      <c r="BJ61" s="18">
        <f t="shared" si="143"/>
        <v>0</v>
      </c>
      <c r="BK61" s="18">
        <f t="shared" si="143"/>
        <v>3000</v>
      </c>
      <c r="BL61" s="18">
        <f t="shared" si="143"/>
        <v>180000</v>
      </c>
      <c r="BM61" s="18">
        <f t="shared" si="143"/>
        <v>264960</v>
      </c>
      <c r="BN61" s="18">
        <f t="shared" si="143"/>
        <v>0</v>
      </c>
      <c r="BO61" s="18">
        <f aca="true" t="shared" si="144" ref="BO61:CI61">BO4+BO19+BO21+BO24+BO25</f>
        <v>492847.2</v>
      </c>
      <c r="BP61" s="18">
        <f t="shared" si="144"/>
        <v>492847.2</v>
      </c>
      <c r="BQ61" s="18">
        <f t="shared" si="144"/>
        <v>0</v>
      </c>
      <c r="BR61" s="18">
        <f t="shared" si="144"/>
        <v>2078179.45</v>
      </c>
      <c r="BS61" s="18">
        <f t="shared" si="144"/>
        <v>0</v>
      </c>
      <c r="BT61" s="18">
        <f t="shared" si="144"/>
        <v>6839926.319999999</v>
      </c>
      <c r="BU61" s="18">
        <f t="shared" si="144"/>
        <v>13416813.450000001</v>
      </c>
      <c r="BV61" s="18">
        <f t="shared" si="144"/>
        <v>0</v>
      </c>
      <c r="BW61" s="18">
        <f t="shared" si="144"/>
        <v>1020982.0700000001</v>
      </c>
      <c r="BX61" s="18">
        <f t="shared" si="144"/>
        <v>21277721.84</v>
      </c>
      <c r="BY61" s="18">
        <f t="shared" si="144"/>
        <v>20264330.17</v>
      </c>
      <c r="BZ61" s="18">
        <f t="shared" si="144"/>
        <v>62000</v>
      </c>
      <c r="CA61" s="18">
        <f t="shared" si="144"/>
        <v>951391.67</v>
      </c>
      <c r="CB61" s="18">
        <f t="shared" si="144"/>
        <v>21277721.84</v>
      </c>
      <c r="CC61" s="18">
        <f t="shared" si="144"/>
        <v>0</v>
      </c>
      <c r="CD61" s="18">
        <f t="shared" si="144"/>
        <v>1694036.8199999998</v>
      </c>
      <c r="CE61" s="18">
        <f t="shared" si="144"/>
        <v>1694036.8199999998</v>
      </c>
      <c r="CF61" s="18">
        <f t="shared" si="144"/>
        <v>1585332.25</v>
      </c>
      <c r="CG61" s="18">
        <f t="shared" si="144"/>
        <v>19420275.65</v>
      </c>
      <c r="CH61" s="18">
        <f t="shared" si="144"/>
        <v>782366.5500000002</v>
      </c>
      <c r="CI61" s="18">
        <f t="shared" si="144"/>
        <v>1636826.5499999998</v>
      </c>
      <c r="CJ61" s="156">
        <f t="shared" si="115"/>
        <v>1.0685689513980428</v>
      </c>
      <c r="CK61" s="156">
        <f t="shared" si="116"/>
        <v>1.0685689513980428</v>
      </c>
      <c r="CL61" s="156">
        <f t="shared" si="117"/>
        <v>0.08723031796925086</v>
      </c>
      <c r="CM61" s="156">
        <f t="shared" si="118"/>
        <v>0.08723031796925086</v>
      </c>
      <c r="CN61" s="156">
        <f t="shared" si="119"/>
        <v>0.04028606823611179</v>
      </c>
      <c r="CO61" s="156">
        <f t="shared" si="120"/>
        <v>0.08428441385176734</v>
      </c>
      <c r="CP61" s="156">
        <f t="shared" si="121"/>
        <v>0.11076660450639753</v>
      </c>
      <c r="CQ61" s="156">
        <f t="shared" si="122"/>
        <v>0.056631507171582794</v>
      </c>
      <c r="CR61" s="18">
        <f t="shared" si="123"/>
        <v>-7.924505354021764</v>
      </c>
      <c r="CS61" s="18">
        <f t="shared" si="124"/>
        <v>-13424403.850000001</v>
      </c>
      <c r="CT61" s="18">
        <f t="shared" si="125"/>
        <v>21107209.31</v>
      </c>
      <c r="CU61" s="18">
        <f t="shared" si="126"/>
        <v>22801246.130000003</v>
      </c>
      <c r="CV61" s="18">
        <f t="shared" si="127"/>
        <v>1694036.820000004</v>
      </c>
      <c r="CW61" s="18">
        <f t="shared" si="128"/>
        <v>0</v>
      </c>
      <c r="CX61" s="18">
        <f t="shared" si="129"/>
        <v>1694036.820000004</v>
      </c>
      <c r="CY61" s="18">
        <f t="shared" si="130"/>
        <v>22782.820000004023</v>
      </c>
      <c r="CZ61" s="18">
        <f t="shared" si="131"/>
        <v>1585332.25</v>
      </c>
      <c r="DA61" s="18">
        <f t="shared" si="132"/>
        <v>1671254</v>
      </c>
      <c r="DB61" s="18">
        <f t="shared" si="133"/>
        <v>108704.57000000402</v>
      </c>
      <c r="DC61" s="18">
        <f t="shared" si="134"/>
        <v>-2164101.2</v>
      </c>
      <c r="DD61" s="18">
        <f t="shared" si="135"/>
        <v>22782.82000000379</v>
      </c>
      <c r="DE61" s="18">
        <f t="shared" si="136"/>
        <v>6394155.55</v>
      </c>
      <c r="DF61" s="18">
        <f t="shared" si="137"/>
        <v>-939.6237033666971</v>
      </c>
      <c r="DG61" s="18">
        <f t="shared" si="138"/>
        <v>54.76073003429693</v>
      </c>
      <c r="DH61" s="18">
        <f t="shared" si="139"/>
        <v>447.55060894519494</v>
      </c>
      <c r="DI61" s="18">
        <f t="shared" si="140"/>
        <v>110.96327080562749</v>
      </c>
      <c r="DJ61" s="18">
        <f t="shared" si="141"/>
        <v>7.608635122839226</v>
      </c>
      <c r="DK61" s="18">
        <f t="shared" si="142"/>
        <v>-13486403.850000001</v>
      </c>
    </row>
    <row r="62" spans="1:115" ht="12.75">
      <c r="A62" s="3" t="s">
        <v>261</v>
      </c>
      <c r="B62" s="60">
        <f>B9+B11+B22+B27</f>
        <v>11873</v>
      </c>
      <c r="C62" s="60">
        <f aca="true" t="shared" si="145" ref="C62:BN62">C9+C11+C22+C27</f>
        <v>43065808</v>
      </c>
      <c r="D62" s="60">
        <f>(D9+D11+D22+D27)/4</f>
        <v>3425.0475</v>
      </c>
      <c r="E62" s="60">
        <f>(E9+E11+E22+E27)/4</f>
        <v>103.25999999999999</v>
      </c>
      <c r="F62" s="60">
        <f>(F9+F11+F22+F27)/4</f>
        <v>13.25</v>
      </c>
      <c r="G62" s="18">
        <f t="shared" si="145"/>
        <v>8484570.25</v>
      </c>
      <c r="H62" s="18">
        <f t="shared" si="145"/>
        <v>1667911.5</v>
      </c>
      <c r="I62" s="18">
        <f t="shared" si="145"/>
        <v>683860.65</v>
      </c>
      <c r="J62" s="18">
        <f t="shared" si="145"/>
        <v>12500</v>
      </c>
      <c r="K62" s="18">
        <f t="shared" si="145"/>
        <v>1118601.0499999998</v>
      </c>
      <c r="L62" s="18">
        <f t="shared" si="145"/>
        <v>218127.6</v>
      </c>
      <c r="M62" s="18">
        <f t="shared" si="145"/>
        <v>1336728.65</v>
      </c>
      <c r="N62" s="18">
        <f t="shared" si="145"/>
        <v>0</v>
      </c>
      <c r="O62" s="18">
        <f t="shared" si="145"/>
        <v>3480766.15</v>
      </c>
      <c r="P62" s="18">
        <f t="shared" si="145"/>
        <v>29532.5</v>
      </c>
      <c r="Q62" s="18">
        <f t="shared" si="145"/>
        <v>0</v>
      </c>
      <c r="R62" s="18">
        <f t="shared" si="145"/>
        <v>0</v>
      </c>
      <c r="S62" s="18">
        <f t="shared" si="145"/>
        <v>0</v>
      </c>
      <c r="T62" s="18">
        <f t="shared" si="145"/>
        <v>200000</v>
      </c>
      <c r="U62" s="18">
        <f t="shared" si="145"/>
        <v>0</v>
      </c>
      <c r="V62" s="18">
        <f t="shared" si="145"/>
        <v>0</v>
      </c>
      <c r="W62" s="18">
        <f t="shared" si="145"/>
        <v>200000</v>
      </c>
      <c r="X62" s="18">
        <f t="shared" si="145"/>
        <v>0</v>
      </c>
      <c r="Y62" s="18">
        <f t="shared" si="145"/>
        <v>15895869.700000001</v>
      </c>
      <c r="Z62" s="18">
        <f t="shared" si="145"/>
        <v>6871591.050000001</v>
      </c>
      <c r="AA62" s="18">
        <f t="shared" si="145"/>
        <v>609668.1</v>
      </c>
      <c r="AB62" s="18">
        <f t="shared" si="145"/>
        <v>0</v>
      </c>
      <c r="AC62" s="18">
        <f t="shared" si="145"/>
        <v>306226.6</v>
      </c>
      <c r="AD62" s="18">
        <f t="shared" si="145"/>
        <v>0</v>
      </c>
      <c r="AE62" s="18">
        <f t="shared" si="145"/>
        <v>7787485.75</v>
      </c>
      <c r="AF62" s="18">
        <f t="shared" si="145"/>
        <v>0</v>
      </c>
      <c r="AG62" s="18">
        <f t="shared" si="145"/>
        <v>294179</v>
      </c>
      <c r="AH62" s="18">
        <f t="shared" si="145"/>
        <v>0</v>
      </c>
      <c r="AI62" s="18">
        <f t="shared" si="145"/>
        <v>259145.19</v>
      </c>
      <c r="AJ62" s="18">
        <f t="shared" si="145"/>
        <v>3869496.5000000005</v>
      </c>
      <c r="AK62" s="18">
        <f t="shared" si="145"/>
        <v>538302.8999999999</v>
      </c>
      <c r="AL62" s="18">
        <f t="shared" si="145"/>
        <v>3488619.349999999</v>
      </c>
      <c r="AM62" s="18">
        <f t="shared" si="145"/>
        <v>0</v>
      </c>
      <c r="AN62" s="18">
        <f t="shared" si="145"/>
        <v>0</v>
      </c>
      <c r="AO62" s="18">
        <f t="shared" si="145"/>
        <v>0</v>
      </c>
      <c r="AP62" s="18">
        <f t="shared" si="145"/>
        <v>0</v>
      </c>
      <c r="AQ62" s="18">
        <f t="shared" si="145"/>
        <v>0</v>
      </c>
      <c r="AR62" s="18">
        <f t="shared" si="145"/>
        <v>0</v>
      </c>
      <c r="AS62" s="18">
        <f t="shared" si="145"/>
        <v>0</v>
      </c>
      <c r="AT62" s="18">
        <f t="shared" si="145"/>
        <v>112190</v>
      </c>
      <c r="AU62" s="18">
        <f t="shared" si="145"/>
        <v>16349418.690000001</v>
      </c>
      <c r="AV62" s="18">
        <f t="shared" si="145"/>
        <v>453548.99</v>
      </c>
      <c r="AW62" s="18">
        <f t="shared" si="145"/>
        <v>0</v>
      </c>
      <c r="AX62" s="18">
        <f t="shared" si="145"/>
        <v>-9.199538908433169E-10</v>
      </c>
      <c r="AY62" s="18">
        <f t="shared" si="145"/>
        <v>0</v>
      </c>
      <c r="AZ62" s="18">
        <f t="shared" si="145"/>
        <v>291360.45</v>
      </c>
      <c r="BA62" s="18">
        <f t="shared" si="145"/>
        <v>0</v>
      </c>
      <c r="BB62" s="18">
        <f t="shared" si="145"/>
        <v>0</v>
      </c>
      <c r="BC62" s="18">
        <f t="shared" si="145"/>
        <v>0</v>
      </c>
      <c r="BD62" s="18">
        <f t="shared" si="145"/>
        <v>0</v>
      </c>
      <c r="BE62" s="18">
        <f t="shared" si="145"/>
        <v>0</v>
      </c>
      <c r="BF62" s="18">
        <f t="shared" si="145"/>
        <v>291360.45</v>
      </c>
      <c r="BG62" s="18">
        <f t="shared" si="145"/>
        <v>0</v>
      </c>
      <c r="BH62" s="18">
        <f t="shared" si="145"/>
        <v>0</v>
      </c>
      <c r="BI62" s="18">
        <f t="shared" si="145"/>
        <v>0</v>
      </c>
      <c r="BJ62" s="18">
        <f t="shared" si="145"/>
        <v>0</v>
      </c>
      <c r="BK62" s="18">
        <f t="shared" si="145"/>
        <v>0</v>
      </c>
      <c r="BL62" s="18">
        <f t="shared" si="145"/>
        <v>220000</v>
      </c>
      <c r="BM62" s="18">
        <f t="shared" si="145"/>
        <v>28600</v>
      </c>
      <c r="BN62" s="18">
        <f t="shared" si="145"/>
        <v>0</v>
      </c>
      <c r="BO62" s="18">
        <f aca="true" t="shared" si="146" ref="BO62:CI62">BO9+BO11+BO22+BO27</f>
        <v>248600</v>
      </c>
      <c r="BP62" s="18">
        <f t="shared" si="146"/>
        <v>248600</v>
      </c>
      <c r="BQ62" s="18">
        <f t="shared" si="146"/>
        <v>0</v>
      </c>
      <c r="BR62" s="18">
        <f t="shared" si="146"/>
        <v>291360.45</v>
      </c>
      <c r="BS62" s="18">
        <f t="shared" si="146"/>
        <v>0</v>
      </c>
      <c r="BT62" s="18">
        <f t="shared" si="146"/>
        <v>9182486.2</v>
      </c>
      <c r="BU62" s="18">
        <f t="shared" si="146"/>
        <v>11810429.4</v>
      </c>
      <c r="BV62" s="18">
        <f t="shared" si="146"/>
        <v>0</v>
      </c>
      <c r="BW62" s="18">
        <f t="shared" si="146"/>
        <v>0</v>
      </c>
      <c r="BX62" s="18">
        <f t="shared" si="146"/>
        <v>20992915.6</v>
      </c>
      <c r="BY62" s="18">
        <f t="shared" si="146"/>
        <v>18697749.049999997</v>
      </c>
      <c r="BZ62" s="18">
        <f t="shared" si="146"/>
        <v>727451.85</v>
      </c>
      <c r="CA62" s="18">
        <f t="shared" si="146"/>
        <v>1567714.7</v>
      </c>
      <c r="CB62" s="18">
        <f t="shared" si="146"/>
        <v>20992915.6</v>
      </c>
      <c r="CC62" s="18">
        <f t="shared" si="146"/>
        <v>0</v>
      </c>
      <c r="CD62" s="18">
        <f t="shared" si="146"/>
        <v>1790277.6400000001</v>
      </c>
      <c r="CE62" s="18">
        <f t="shared" si="146"/>
        <v>1990277.6400000001</v>
      </c>
      <c r="CF62" s="18">
        <f t="shared" si="146"/>
        <v>42760.45</v>
      </c>
      <c r="CG62" s="18">
        <f t="shared" si="146"/>
        <v>16237228.690000001</v>
      </c>
      <c r="CH62" s="18">
        <f t="shared" si="146"/>
        <v>389681.65</v>
      </c>
      <c r="CI62" s="18">
        <f t="shared" si="146"/>
        <v>1508282.7000000002</v>
      </c>
      <c r="CJ62" s="156">
        <f t="shared" si="115"/>
        <v>41.86760522866341</v>
      </c>
      <c r="CK62" s="156">
        <f t="shared" si="116"/>
        <v>46.54482448150102</v>
      </c>
      <c r="CL62" s="156">
        <f t="shared" si="117"/>
        <v>0.1102575860807193</v>
      </c>
      <c r="CM62" s="156">
        <f t="shared" si="118"/>
        <v>0.12257495894146946</v>
      </c>
      <c r="CN62" s="156">
        <f t="shared" si="119"/>
        <v>0.023999270900211728</v>
      </c>
      <c r="CO62" s="156">
        <f t="shared" si="120"/>
        <v>0.09289040197659494</v>
      </c>
      <c r="CP62" s="156">
        <f t="shared" si="121"/>
        <v>0.10167434246369314</v>
      </c>
      <c r="CQ62" s="156">
        <f t="shared" si="122"/>
        <v>0.08508310661101393</v>
      </c>
      <c r="CR62" s="18">
        <f t="shared" si="123"/>
        <v>-4.7808721048586955</v>
      </c>
      <c r="CS62" s="18">
        <f t="shared" si="124"/>
        <v>-9515262.849999998</v>
      </c>
      <c r="CT62" s="18">
        <f t="shared" si="125"/>
        <v>14559141.050000003</v>
      </c>
      <c r="CU62" s="18">
        <f t="shared" si="126"/>
        <v>16349418.690000001</v>
      </c>
      <c r="CV62" s="18">
        <f t="shared" si="127"/>
        <v>1790277.6399999987</v>
      </c>
      <c r="CW62" s="18">
        <f t="shared" si="128"/>
        <v>0</v>
      </c>
      <c r="CX62" s="18">
        <f t="shared" si="129"/>
        <v>1790277.6399999987</v>
      </c>
      <c r="CY62" s="18">
        <f t="shared" si="130"/>
        <v>453548.98999999894</v>
      </c>
      <c r="CZ62" s="18">
        <f t="shared" si="131"/>
        <v>42760.45000000001</v>
      </c>
      <c r="DA62" s="18">
        <f t="shared" si="132"/>
        <v>1336728.65</v>
      </c>
      <c r="DB62" s="18">
        <f t="shared" si="133"/>
        <v>1747517.189999999</v>
      </c>
      <c r="DC62" s="18">
        <f t="shared" si="134"/>
        <v>-1585328.65</v>
      </c>
      <c r="DD62" s="18">
        <f t="shared" si="135"/>
        <v>453548.9899999991</v>
      </c>
      <c r="DE62" s="18">
        <f t="shared" si="136"/>
        <v>7481259.15</v>
      </c>
      <c r="DF62" s="18">
        <f t="shared" si="137"/>
        <v>-801.4202686768296</v>
      </c>
      <c r="DG62" s="18">
        <f t="shared" si="138"/>
        <v>32.82082455992588</v>
      </c>
      <c r="DH62" s="18">
        <f t="shared" si="139"/>
        <v>630.1068937926387</v>
      </c>
      <c r="DI62" s="18">
        <f t="shared" si="140"/>
        <v>3.601486566158512</v>
      </c>
      <c r="DJ62" s="18">
        <f t="shared" si="141"/>
        <v>147.1841312221005</v>
      </c>
      <c r="DK62" s="18">
        <f t="shared" si="142"/>
        <v>-10242714.700000001</v>
      </c>
    </row>
    <row r="63" spans="1:115" ht="12.75">
      <c r="A63" s="3" t="s">
        <v>262</v>
      </c>
      <c r="B63" s="60">
        <f>B7+B8+B17</f>
        <v>1792</v>
      </c>
      <c r="C63" s="60">
        <f aca="true" t="shared" si="147" ref="C63:BN63">C7+C8+C17</f>
        <v>4434646</v>
      </c>
      <c r="D63" s="60">
        <f>(D7+D8+D17)/3</f>
        <v>2486.9933333333333</v>
      </c>
      <c r="E63" s="60">
        <f>(E7+E8+E17)/3</f>
        <v>74.98</v>
      </c>
      <c r="F63" s="60">
        <f>(F7+F8+F17)/3</f>
        <v>10</v>
      </c>
      <c r="G63" s="18">
        <f t="shared" si="147"/>
        <v>2275651.7</v>
      </c>
      <c r="H63" s="18">
        <f t="shared" si="147"/>
        <v>506267.69999999995</v>
      </c>
      <c r="I63" s="18">
        <f t="shared" si="147"/>
        <v>59050.09999999999</v>
      </c>
      <c r="J63" s="18">
        <f t="shared" si="147"/>
        <v>0</v>
      </c>
      <c r="K63" s="18">
        <f t="shared" si="147"/>
        <v>338942.95</v>
      </c>
      <c r="L63" s="18">
        <f t="shared" si="147"/>
        <v>0</v>
      </c>
      <c r="M63" s="18">
        <f t="shared" si="147"/>
        <v>338942.95</v>
      </c>
      <c r="N63" s="18">
        <f t="shared" si="147"/>
        <v>0</v>
      </c>
      <c r="O63" s="18">
        <f t="shared" si="147"/>
        <v>483227.35</v>
      </c>
      <c r="P63" s="18">
        <f t="shared" si="147"/>
        <v>7500</v>
      </c>
      <c r="Q63" s="18">
        <f t="shared" si="147"/>
        <v>0</v>
      </c>
      <c r="R63" s="18">
        <f t="shared" si="147"/>
        <v>0</v>
      </c>
      <c r="S63" s="18">
        <f t="shared" si="147"/>
        <v>0</v>
      </c>
      <c r="T63" s="18">
        <f t="shared" si="147"/>
        <v>0</v>
      </c>
      <c r="U63" s="18">
        <f t="shared" si="147"/>
        <v>0</v>
      </c>
      <c r="V63" s="18">
        <f t="shared" si="147"/>
        <v>21871.95</v>
      </c>
      <c r="W63" s="18">
        <f t="shared" si="147"/>
        <v>21871.95</v>
      </c>
      <c r="X63" s="18">
        <f t="shared" si="147"/>
        <v>55601.1</v>
      </c>
      <c r="Y63" s="18">
        <f t="shared" si="147"/>
        <v>3748112.8500000006</v>
      </c>
      <c r="Z63" s="18">
        <f t="shared" si="147"/>
        <v>659979.7999999999</v>
      </c>
      <c r="AA63" s="18">
        <f t="shared" si="147"/>
        <v>230059.95</v>
      </c>
      <c r="AB63" s="18">
        <f t="shared" si="147"/>
        <v>0</v>
      </c>
      <c r="AC63" s="18">
        <f t="shared" si="147"/>
        <v>4333.3</v>
      </c>
      <c r="AD63" s="18">
        <f t="shared" si="147"/>
        <v>0</v>
      </c>
      <c r="AE63" s="18">
        <f t="shared" si="147"/>
        <v>894373.05</v>
      </c>
      <c r="AF63" s="18">
        <f t="shared" si="147"/>
        <v>0</v>
      </c>
      <c r="AG63" s="18">
        <f t="shared" si="147"/>
        <v>2461.8</v>
      </c>
      <c r="AH63" s="18">
        <f t="shared" si="147"/>
        <v>0</v>
      </c>
      <c r="AI63" s="18">
        <f t="shared" si="147"/>
        <v>70951.85</v>
      </c>
      <c r="AJ63" s="18">
        <f t="shared" si="147"/>
        <v>761158.5499999999</v>
      </c>
      <c r="AK63" s="18">
        <f t="shared" si="147"/>
        <v>576468.1</v>
      </c>
      <c r="AL63" s="18">
        <f t="shared" si="147"/>
        <v>784076.2999999999</v>
      </c>
      <c r="AM63" s="18">
        <f t="shared" si="147"/>
        <v>0</v>
      </c>
      <c r="AN63" s="18">
        <f t="shared" si="147"/>
        <v>0</v>
      </c>
      <c r="AO63" s="18">
        <f t="shared" si="147"/>
        <v>0</v>
      </c>
      <c r="AP63" s="18">
        <f t="shared" si="147"/>
        <v>0</v>
      </c>
      <c r="AQ63" s="18">
        <f t="shared" si="147"/>
        <v>0</v>
      </c>
      <c r="AR63" s="18">
        <f t="shared" si="147"/>
        <v>0</v>
      </c>
      <c r="AS63" s="18">
        <f t="shared" si="147"/>
        <v>0</v>
      </c>
      <c r="AT63" s="18">
        <f t="shared" si="147"/>
        <v>66205</v>
      </c>
      <c r="AU63" s="18">
        <f t="shared" si="147"/>
        <v>3155694.65</v>
      </c>
      <c r="AV63" s="18">
        <f t="shared" si="147"/>
        <v>0</v>
      </c>
      <c r="AW63" s="18">
        <f t="shared" si="147"/>
        <v>592418.15</v>
      </c>
      <c r="AX63" s="18">
        <f t="shared" si="147"/>
        <v>0.05000000019208528</v>
      </c>
      <c r="AY63" s="18">
        <f t="shared" si="147"/>
        <v>0</v>
      </c>
      <c r="AZ63" s="18">
        <f t="shared" si="147"/>
        <v>0</v>
      </c>
      <c r="BA63" s="18">
        <f t="shared" si="147"/>
        <v>0</v>
      </c>
      <c r="BB63" s="18">
        <f t="shared" si="147"/>
        <v>0</v>
      </c>
      <c r="BC63" s="18">
        <f t="shared" si="147"/>
        <v>0</v>
      </c>
      <c r="BD63" s="18">
        <f t="shared" si="147"/>
        <v>0</v>
      </c>
      <c r="BE63" s="18">
        <f t="shared" si="147"/>
        <v>0</v>
      </c>
      <c r="BF63" s="18">
        <f t="shared" si="147"/>
        <v>0</v>
      </c>
      <c r="BG63" s="18">
        <f t="shared" si="147"/>
        <v>0</v>
      </c>
      <c r="BH63" s="18">
        <f t="shared" si="147"/>
        <v>0</v>
      </c>
      <c r="BI63" s="18">
        <f t="shared" si="147"/>
        <v>0</v>
      </c>
      <c r="BJ63" s="18">
        <f t="shared" si="147"/>
        <v>0</v>
      </c>
      <c r="BK63" s="18">
        <f t="shared" si="147"/>
        <v>0</v>
      </c>
      <c r="BL63" s="18">
        <f t="shared" si="147"/>
        <v>0</v>
      </c>
      <c r="BM63" s="18">
        <f t="shared" si="147"/>
        <v>0</v>
      </c>
      <c r="BN63" s="18">
        <f t="shared" si="147"/>
        <v>0</v>
      </c>
      <c r="BO63" s="18">
        <f aca="true" t="shared" si="148" ref="BO63:CI63">BO7+BO8+BO17</f>
        <v>0</v>
      </c>
      <c r="BP63" s="18">
        <f t="shared" si="148"/>
        <v>0</v>
      </c>
      <c r="BQ63" s="18">
        <f t="shared" si="148"/>
        <v>0</v>
      </c>
      <c r="BR63" s="18">
        <f t="shared" si="148"/>
        <v>0</v>
      </c>
      <c r="BS63" s="18">
        <f t="shared" si="148"/>
        <v>0</v>
      </c>
      <c r="BT63" s="18">
        <f t="shared" si="148"/>
        <v>301649.17</v>
      </c>
      <c r="BU63" s="18">
        <f t="shared" si="148"/>
        <v>1035118.9</v>
      </c>
      <c r="BV63" s="18">
        <f t="shared" si="148"/>
        <v>0</v>
      </c>
      <c r="BW63" s="18">
        <f t="shared" si="148"/>
        <v>519254.9</v>
      </c>
      <c r="BX63" s="18">
        <f t="shared" si="148"/>
        <v>1856022.97</v>
      </c>
      <c r="BY63" s="18">
        <f t="shared" si="148"/>
        <v>1695108.6500000001</v>
      </c>
      <c r="BZ63" s="18">
        <f t="shared" si="148"/>
        <v>0</v>
      </c>
      <c r="CA63" s="18">
        <f t="shared" si="148"/>
        <v>160914.32</v>
      </c>
      <c r="CB63" s="18">
        <f t="shared" si="148"/>
        <v>1856022.97</v>
      </c>
      <c r="CC63" s="18">
        <f t="shared" si="148"/>
        <v>0</v>
      </c>
      <c r="CD63" s="18">
        <f t="shared" si="148"/>
        <v>-253475.19999999998</v>
      </c>
      <c r="CE63" s="18">
        <f t="shared" si="148"/>
        <v>-231603.25</v>
      </c>
      <c r="CF63" s="18">
        <f t="shared" si="148"/>
        <v>0</v>
      </c>
      <c r="CG63" s="18">
        <f t="shared" si="148"/>
        <v>3089489.65</v>
      </c>
      <c r="CH63" s="18">
        <f t="shared" si="148"/>
        <v>56588.299999999996</v>
      </c>
      <c r="CI63" s="18">
        <f t="shared" si="148"/>
        <v>395531.25</v>
      </c>
      <c r="CJ63" s="156" t="e">
        <f t="shared" si="115"/>
        <v>#DIV/0!</v>
      </c>
      <c r="CK63" s="156" t="e">
        <f t="shared" si="116"/>
        <v>#DIV/0!</v>
      </c>
      <c r="CL63" s="156">
        <f t="shared" si="117"/>
        <v>-0.08204435965661837</v>
      </c>
      <c r="CM63" s="156">
        <f t="shared" si="118"/>
        <v>-0.07496488942761145</v>
      </c>
      <c r="CN63" s="156">
        <f t="shared" si="119"/>
        <v>0.01831639086410275</v>
      </c>
      <c r="CO63" s="156">
        <f t="shared" si="120"/>
        <v>0.12802478558230485</v>
      </c>
      <c r="CP63" s="156">
        <f t="shared" si="121"/>
        <v>0.24667226588089902</v>
      </c>
      <c r="CQ63" s="156">
        <f t="shared" si="122"/>
        <v>0.24667226588089902</v>
      </c>
      <c r="CR63" s="18">
        <f t="shared" si="123"/>
        <v>6.016579991861082</v>
      </c>
      <c r="CS63" s="18">
        <f t="shared" si="124"/>
        <v>-1393459.4800000002</v>
      </c>
      <c r="CT63" s="18">
        <f t="shared" si="125"/>
        <v>3387297.95</v>
      </c>
      <c r="CU63" s="18">
        <f t="shared" si="126"/>
        <v>3155694.65</v>
      </c>
      <c r="CV63" s="18">
        <f t="shared" si="127"/>
        <v>-231603.30000000028</v>
      </c>
      <c r="CW63" s="18">
        <f t="shared" si="128"/>
        <v>-21871.95</v>
      </c>
      <c r="CX63" s="18">
        <f t="shared" si="129"/>
        <v>-253475.2500000003</v>
      </c>
      <c r="CY63" s="18">
        <f t="shared" si="130"/>
        <v>-592418.2000000003</v>
      </c>
      <c r="CZ63" s="18">
        <f t="shared" si="131"/>
        <v>0</v>
      </c>
      <c r="DA63" s="18">
        <f t="shared" si="132"/>
        <v>338942.95</v>
      </c>
      <c r="DB63" s="18">
        <f t="shared" si="133"/>
        <v>-253475.2500000003</v>
      </c>
      <c r="DC63" s="18">
        <f t="shared" si="134"/>
        <v>-338942.95</v>
      </c>
      <c r="DD63" s="18">
        <f t="shared" si="135"/>
        <v>-592418.2000000003</v>
      </c>
      <c r="DE63" s="18">
        <f t="shared" si="136"/>
        <v>890039.75</v>
      </c>
      <c r="DF63" s="18">
        <f t="shared" si="137"/>
        <v>-777.6001562500002</v>
      </c>
      <c r="DG63" s="18">
        <f t="shared" si="138"/>
        <v>31.578292410714283</v>
      </c>
      <c r="DH63" s="18">
        <f t="shared" si="139"/>
        <v>496.67396763392856</v>
      </c>
      <c r="DI63" s="18">
        <f t="shared" si="140"/>
        <v>0</v>
      </c>
      <c r="DJ63" s="18">
        <f t="shared" si="141"/>
        <v>-141.44824218750017</v>
      </c>
      <c r="DK63" s="18">
        <f t="shared" si="142"/>
        <v>-1393459.48</v>
      </c>
    </row>
    <row r="64" spans="1:115" ht="12.75">
      <c r="A64" s="3" t="s">
        <v>263</v>
      </c>
      <c r="B64" s="60">
        <f>B3+B5+B6+B12+B13+B14+B15+B16+B18+B23+B28+B29+B30+B31</f>
        <v>8866</v>
      </c>
      <c r="C64" s="60">
        <f>C3+C5+C6+C12+C13+C14+C15+C16+C18+C23+C28+C29+C30+C31</f>
        <v>29866871</v>
      </c>
      <c r="D64" s="60">
        <f>(D3+D5+D6+D12+D13+D14+D15+D16+D18+D23+D28+D29+D30+D31)/14</f>
        <v>2953.7714285714283</v>
      </c>
      <c r="E64" s="60">
        <f>(E3+E5+E6+E12+E13+E14+E15+E16+E18+E23+E28+E29+E30+E31)/14</f>
        <v>89.05285714285716</v>
      </c>
      <c r="F64" s="60">
        <f>(F3+F5+F6+F12+F13+F14+F15+F16+F18+F23+F28+F29+F30+F31)/14</f>
        <v>10.928571428571429</v>
      </c>
      <c r="G64" s="18">
        <f>G3+G5+G6+G12+G13+G14+G15+G16+G18+G23+G28+G29+G30+G31</f>
        <v>9049216.9</v>
      </c>
      <c r="H64" s="18">
        <f aca="true" t="shared" si="149" ref="H64:BS64">H3+H5+H6+H12+H13+H14+H15+H16+H18+H23+H28+H29+H30+H31</f>
        <v>1767756.4200000002</v>
      </c>
      <c r="I64" s="18">
        <f t="shared" si="149"/>
        <v>398669.85</v>
      </c>
      <c r="J64" s="18">
        <f t="shared" si="149"/>
        <v>0</v>
      </c>
      <c r="K64" s="18">
        <f t="shared" si="149"/>
        <v>1192837.6</v>
      </c>
      <c r="L64" s="18">
        <f t="shared" si="149"/>
        <v>88895.65</v>
      </c>
      <c r="M64" s="18">
        <f t="shared" si="149"/>
        <v>1281733.25</v>
      </c>
      <c r="N64" s="18">
        <f t="shared" si="149"/>
        <v>99308.7</v>
      </c>
      <c r="O64" s="18">
        <f t="shared" si="149"/>
        <v>1680342.9</v>
      </c>
      <c r="P64" s="18">
        <f t="shared" si="149"/>
        <v>34077.35</v>
      </c>
      <c r="Q64" s="18">
        <f t="shared" si="149"/>
        <v>0</v>
      </c>
      <c r="R64" s="18">
        <f t="shared" si="149"/>
        <v>2671</v>
      </c>
      <c r="S64" s="18">
        <f t="shared" si="149"/>
        <v>0</v>
      </c>
      <c r="T64" s="18">
        <f t="shared" si="149"/>
        <v>100000</v>
      </c>
      <c r="U64" s="18">
        <f t="shared" si="149"/>
        <v>0</v>
      </c>
      <c r="V64" s="18">
        <f t="shared" si="149"/>
        <v>0</v>
      </c>
      <c r="W64" s="18">
        <f t="shared" si="149"/>
        <v>102671</v>
      </c>
      <c r="X64" s="18">
        <f t="shared" si="149"/>
        <v>1266349.8</v>
      </c>
      <c r="Y64" s="18">
        <f t="shared" si="149"/>
        <v>15680126.17</v>
      </c>
      <c r="Z64" s="18">
        <f t="shared" si="149"/>
        <v>3476289.1499999994</v>
      </c>
      <c r="AA64" s="18">
        <f t="shared" si="149"/>
        <v>405108.05000000005</v>
      </c>
      <c r="AB64" s="18">
        <f t="shared" si="149"/>
        <v>1454.95</v>
      </c>
      <c r="AC64" s="18">
        <f t="shared" si="149"/>
        <v>83548.7</v>
      </c>
      <c r="AD64" s="18">
        <f t="shared" si="149"/>
        <v>0</v>
      </c>
      <c r="AE64" s="18">
        <f t="shared" si="149"/>
        <v>3966400.85</v>
      </c>
      <c r="AF64" s="18">
        <f t="shared" si="149"/>
        <v>0</v>
      </c>
      <c r="AG64" s="18">
        <f t="shared" si="149"/>
        <v>30564.5</v>
      </c>
      <c r="AH64" s="18">
        <f t="shared" si="149"/>
        <v>0</v>
      </c>
      <c r="AI64" s="18">
        <f t="shared" si="149"/>
        <v>259543.8</v>
      </c>
      <c r="AJ64" s="18">
        <f t="shared" si="149"/>
        <v>3977831.8000000003</v>
      </c>
      <c r="AK64" s="18">
        <f t="shared" si="149"/>
        <v>1359864.4</v>
      </c>
      <c r="AL64" s="18">
        <f t="shared" si="149"/>
        <v>3747936.5500000003</v>
      </c>
      <c r="AM64" s="18">
        <f t="shared" si="149"/>
        <v>0</v>
      </c>
      <c r="AN64" s="18">
        <f t="shared" si="149"/>
        <v>0</v>
      </c>
      <c r="AO64" s="18">
        <f t="shared" si="149"/>
        <v>0</v>
      </c>
      <c r="AP64" s="18">
        <f t="shared" si="149"/>
        <v>0</v>
      </c>
      <c r="AQ64" s="18">
        <f t="shared" si="149"/>
        <v>3850</v>
      </c>
      <c r="AR64" s="18">
        <f t="shared" si="149"/>
        <v>0</v>
      </c>
      <c r="AS64" s="18">
        <f t="shared" si="149"/>
        <v>3850</v>
      </c>
      <c r="AT64" s="18">
        <f t="shared" si="149"/>
        <v>1290943</v>
      </c>
      <c r="AU64" s="18">
        <f t="shared" si="149"/>
        <v>14636934.9</v>
      </c>
      <c r="AV64" s="18">
        <f t="shared" si="149"/>
        <v>7722.45</v>
      </c>
      <c r="AW64" s="18">
        <f t="shared" si="149"/>
        <v>1050913.72</v>
      </c>
      <c r="AX64" s="18">
        <f t="shared" si="149"/>
        <v>-5.647962098009884E-10</v>
      </c>
      <c r="AY64" s="18">
        <f t="shared" si="149"/>
        <v>0</v>
      </c>
      <c r="AZ64" s="18">
        <f t="shared" si="149"/>
        <v>449928.94999999995</v>
      </c>
      <c r="BA64" s="18">
        <f t="shared" si="149"/>
        <v>0</v>
      </c>
      <c r="BB64" s="18">
        <f t="shared" si="149"/>
        <v>0</v>
      </c>
      <c r="BC64" s="18">
        <f t="shared" si="149"/>
        <v>0</v>
      </c>
      <c r="BD64" s="18">
        <f t="shared" si="149"/>
        <v>0</v>
      </c>
      <c r="BE64" s="18">
        <f t="shared" si="149"/>
        <v>32667</v>
      </c>
      <c r="BF64" s="18">
        <f t="shared" si="149"/>
        <v>482595.94999999995</v>
      </c>
      <c r="BG64" s="18">
        <f t="shared" si="149"/>
        <v>0</v>
      </c>
      <c r="BH64" s="18">
        <f t="shared" si="149"/>
        <v>0</v>
      </c>
      <c r="BI64" s="18">
        <f t="shared" si="149"/>
        <v>0</v>
      </c>
      <c r="BJ64" s="18">
        <f t="shared" si="149"/>
        <v>0</v>
      </c>
      <c r="BK64" s="18">
        <f t="shared" si="149"/>
        <v>0</v>
      </c>
      <c r="BL64" s="18">
        <f t="shared" si="149"/>
        <v>0</v>
      </c>
      <c r="BM64" s="18">
        <f t="shared" si="149"/>
        <v>123023</v>
      </c>
      <c r="BN64" s="18">
        <f t="shared" si="149"/>
        <v>0</v>
      </c>
      <c r="BO64" s="18">
        <f t="shared" si="149"/>
        <v>123023</v>
      </c>
      <c r="BP64" s="18">
        <f t="shared" si="149"/>
        <v>123023</v>
      </c>
      <c r="BQ64" s="18">
        <f t="shared" si="149"/>
        <v>0</v>
      </c>
      <c r="BR64" s="18">
        <f t="shared" si="149"/>
        <v>482595.94999999995</v>
      </c>
      <c r="BS64" s="18">
        <f t="shared" si="149"/>
        <v>0</v>
      </c>
      <c r="BT64" s="18">
        <f aca="true" t="shared" si="150" ref="BT64:CI64">BT3+BT5+BT6+BT12+BT13+BT14+BT15+BT16+BT18+BT23+BT28+BT29+BT30+BT31</f>
        <v>6457282.140000001</v>
      </c>
      <c r="BU64" s="18">
        <f t="shared" si="150"/>
        <v>7816177.499999999</v>
      </c>
      <c r="BV64" s="18">
        <f t="shared" si="150"/>
        <v>0</v>
      </c>
      <c r="BW64" s="18">
        <f t="shared" si="150"/>
        <v>633353.77</v>
      </c>
      <c r="BX64" s="18">
        <f t="shared" si="150"/>
        <v>14906813.410000002</v>
      </c>
      <c r="BY64" s="18">
        <f t="shared" si="150"/>
        <v>13468963.990000002</v>
      </c>
      <c r="BZ64" s="18">
        <f t="shared" si="150"/>
        <v>382671</v>
      </c>
      <c r="CA64" s="18">
        <f t="shared" si="150"/>
        <v>1055178.42</v>
      </c>
      <c r="CB64" s="18">
        <f t="shared" si="150"/>
        <v>14906813.410000002</v>
      </c>
      <c r="CC64" s="18">
        <f t="shared" si="150"/>
        <v>0</v>
      </c>
      <c r="CD64" s="18">
        <f t="shared" si="150"/>
        <v>238541.98000000007</v>
      </c>
      <c r="CE64" s="18">
        <f t="shared" si="150"/>
        <v>337362.98000000004</v>
      </c>
      <c r="CF64" s="18">
        <f t="shared" si="150"/>
        <v>359572.94999999995</v>
      </c>
      <c r="CG64" s="18">
        <f t="shared" si="150"/>
        <v>13342141.900000002</v>
      </c>
      <c r="CH64" s="18">
        <f t="shared" si="150"/>
        <v>368105.35</v>
      </c>
      <c r="CI64" s="18">
        <f t="shared" si="150"/>
        <v>1560942.95</v>
      </c>
      <c r="CJ64" s="156">
        <f t="shared" si="115"/>
        <v>0.6634035736002948</v>
      </c>
      <c r="CK64" s="156">
        <f t="shared" si="116"/>
        <v>0.9382323670342836</v>
      </c>
      <c r="CL64" s="156">
        <f t="shared" si="117"/>
        <v>0.01787883698044015</v>
      </c>
      <c r="CM64" s="156">
        <f t="shared" si="118"/>
        <v>0.025285518811638482</v>
      </c>
      <c r="CN64" s="156">
        <f t="shared" si="119"/>
        <v>0.027589674338570774</v>
      </c>
      <c r="CO64" s="156">
        <f t="shared" si="120"/>
        <v>0.11699343041764529</v>
      </c>
      <c r="CP64" s="156">
        <f t="shared" si="121"/>
        <v>0.14088215253155786</v>
      </c>
      <c r="CQ64" s="156">
        <f t="shared" si="122"/>
        <v>0.13111115648172303</v>
      </c>
      <c r="CR64" s="18">
        <f t="shared" si="123"/>
        <v>-20.78379154108729</v>
      </c>
      <c r="CS64" s="18">
        <f t="shared" si="124"/>
        <v>-7011681.8500000015</v>
      </c>
      <c r="CT64" s="18">
        <f t="shared" si="125"/>
        <v>14398392.92</v>
      </c>
      <c r="CU64" s="18">
        <f t="shared" si="126"/>
        <v>14636934.9</v>
      </c>
      <c r="CV64" s="18">
        <f t="shared" si="127"/>
        <v>238541.98000000045</v>
      </c>
      <c r="CW64" s="18">
        <f t="shared" si="128"/>
        <v>0</v>
      </c>
      <c r="CX64" s="18">
        <f t="shared" si="129"/>
        <v>238541.98000000045</v>
      </c>
      <c r="CY64" s="18">
        <f t="shared" si="130"/>
        <v>-1043191.2699999997</v>
      </c>
      <c r="CZ64" s="18">
        <f t="shared" si="131"/>
        <v>359572.94999999995</v>
      </c>
      <c r="DA64" s="18">
        <f t="shared" si="132"/>
        <v>1281733.25</v>
      </c>
      <c r="DB64" s="18">
        <f t="shared" si="133"/>
        <v>-121030.96999999962</v>
      </c>
      <c r="DC64" s="18">
        <f t="shared" si="134"/>
        <v>-1404756.25</v>
      </c>
      <c r="DD64" s="18">
        <f t="shared" si="135"/>
        <v>-1043191.2699999998</v>
      </c>
      <c r="DE64" s="18">
        <f t="shared" si="136"/>
        <v>3882852.1499999994</v>
      </c>
      <c r="DF64" s="18">
        <f t="shared" si="137"/>
        <v>-790.8506485450035</v>
      </c>
      <c r="DG64" s="18">
        <f t="shared" si="138"/>
        <v>41.51876268892398</v>
      </c>
      <c r="DH64" s="18">
        <f t="shared" si="139"/>
        <v>437.948584480036</v>
      </c>
      <c r="DI64" s="18">
        <f t="shared" si="140"/>
        <v>40.55638957816377</v>
      </c>
      <c r="DJ64" s="18">
        <f t="shared" si="141"/>
        <v>-13.651135799684145</v>
      </c>
      <c r="DK64" s="18">
        <f t="shared" si="142"/>
        <v>-7394352.85</v>
      </c>
    </row>
    <row r="65" spans="1:115" ht="12.75">
      <c r="A65" s="3" t="s">
        <v>250</v>
      </c>
      <c r="B65" s="60">
        <f>SUM(B60:B64)</f>
        <v>38207</v>
      </c>
      <c r="C65" s="60">
        <f aca="true" t="shared" si="151" ref="C65:BN65">SUM(C60:C64)</f>
        <v>126728843</v>
      </c>
      <c r="D65" s="60">
        <f>MEDIAN(D60:D64)</f>
        <v>2953.7714285714283</v>
      </c>
      <c r="E65" s="60">
        <f>MEDIAN(E60:E64)</f>
        <v>89.05285714285716</v>
      </c>
      <c r="F65" s="60">
        <f>MEDIAN(F60:F64)</f>
        <v>10.928571428571429</v>
      </c>
      <c r="G65" s="18">
        <f t="shared" si="151"/>
        <v>33761122.35</v>
      </c>
      <c r="H65" s="18">
        <f t="shared" si="151"/>
        <v>6425464.85</v>
      </c>
      <c r="I65" s="18">
        <f t="shared" si="151"/>
        <v>2060512</v>
      </c>
      <c r="J65" s="18">
        <f t="shared" si="151"/>
        <v>12500</v>
      </c>
      <c r="K65" s="18">
        <f t="shared" si="151"/>
        <v>3696927.8000000003</v>
      </c>
      <c r="L65" s="18">
        <f t="shared" si="151"/>
        <v>1123817.25</v>
      </c>
      <c r="M65" s="18">
        <f t="shared" si="151"/>
        <v>4820745.05</v>
      </c>
      <c r="N65" s="18">
        <f t="shared" si="151"/>
        <v>101357.84999999999</v>
      </c>
      <c r="O65" s="18">
        <f t="shared" si="151"/>
        <v>7921428.15</v>
      </c>
      <c r="P65" s="18">
        <f t="shared" si="151"/>
        <v>86167.04999999999</v>
      </c>
      <c r="Q65" s="18">
        <f t="shared" si="151"/>
        <v>2936</v>
      </c>
      <c r="R65" s="18">
        <f t="shared" si="151"/>
        <v>2671</v>
      </c>
      <c r="S65" s="18">
        <f t="shared" si="151"/>
        <v>0</v>
      </c>
      <c r="T65" s="18">
        <f t="shared" si="151"/>
        <v>300000</v>
      </c>
      <c r="U65" s="18">
        <f t="shared" si="151"/>
        <v>0</v>
      </c>
      <c r="V65" s="18">
        <f t="shared" si="151"/>
        <v>21871.95</v>
      </c>
      <c r="W65" s="18">
        <f t="shared" si="151"/>
        <v>324542.95</v>
      </c>
      <c r="X65" s="18">
        <f t="shared" si="151"/>
        <v>4608127.180000001</v>
      </c>
      <c r="Y65" s="18">
        <f t="shared" si="151"/>
        <v>60124903.43</v>
      </c>
      <c r="Z65" s="18">
        <f t="shared" si="151"/>
        <v>16134580.850000001</v>
      </c>
      <c r="AA65" s="18">
        <f t="shared" si="151"/>
        <v>2955298.6500000004</v>
      </c>
      <c r="AB65" s="18">
        <f t="shared" si="151"/>
        <v>15381.550000000001</v>
      </c>
      <c r="AC65" s="18">
        <f t="shared" si="151"/>
        <v>452209.19999999995</v>
      </c>
      <c r="AD65" s="18">
        <f t="shared" si="151"/>
        <v>0</v>
      </c>
      <c r="AE65" s="18">
        <f t="shared" si="151"/>
        <v>19557470.250000004</v>
      </c>
      <c r="AF65" s="18">
        <f t="shared" si="151"/>
        <v>0</v>
      </c>
      <c r="AG65" s="18">
        <f t="shared" si="151"/>
        <v>385260.8</v>
      </c>
      <c r="AH65" s="18">
        <f t="shared" si="151"/>
        <v>0</v>
      </c>
      <c r="AI65" s="18">
        <f t="shared" si="151"/>
        <v>828343.49</v>
      </c>
      <c r="AJ65" s="18">
        <f t="shared" si="151"/>
        <v>15679872.450000001</v>
      </c>
      <c r="AK65" s="18">
        <f t="shared" si="151"/>
        <v>3361629.3</v>
      </c>
      <c r="AL65" s="18">
        <f t="shared" si="151"/>
        <v>14171105.15</v>
      </c>
      <c r="AM65" s="18">
        <f t="shared" si="151"/>
        <v>1042.4</v>
      </c>
      <c r="AN65" s="18">
        <f t="shared" si="151"/>
        <v>0</v>
      </c>
      <c r="AO65" s="18">
        <f t="shared" si="151"/>
        <v>0</v>
      </c>
      <c r="AP65" s="18">
        <f t="shared" si="151"/>
        <v>0</v>
      </c>
      <c r="AQ65" s="18">
        <f t="shared" si="151"/>
        <v>3850</v>
      </c>
      <c r="AR65" s="18">
        <f t="shared" si="151"/>
        <v>0</v>
      </c>
      <c r="AS65" s="18">
        <f t="shared" si="151"/>
        <v>3850</v>
      </c>
      <c r="AT65" s="18">
        <f t="shared" si="151"/>
        <v>4849266.08</v>
      </c>
      <c r="AU65" s="18">
        <f t="shared" si="151"/>
        <v>58837839.92</v>
      </c>
      <c r="AV65" s="18">
        <f t="shared" si="151"/>
        <v>734939.24</v>
      </c>
      <c r="AW65" s="18">
        <f t="shared" si="151"/>
        <v>2022002.7</v>
      </c>
      <c r="AX65" s="18">
        <f t="shared" si="151"/>
        <v>0.04999999768961061</v>
      </c>
      <c r="AY65" s="18">
        <f t="shared" si="151"/>
        <v>37538.9</v>
      </c>
      <c r="AZ65" s="18">
        <f t="shared" si="151"/>
        <v>2817117.05</v>
      </c>
      <c r="BA65" s="18">
        <f t="shared" si="151"/>
        <v>0</v>
      </c>
      <c r="BB65" s="18">
        <f t="shared" si="151"/>
        <v>0</v>
      </c>
      <c r="BC65" s="18">
        <f t="shared" si="151"/>
        <v>0</v>
      </c>
      <c r="BD65" s="18">
        <f t="shared" si="151"/>
        <v>2351.8</v>
      </c>
      <c r="BE65" s="18">
        <f t="shared" si="151"/>
        <v>32667</v>
      </c>
      <c r="BF65" s="18">
        <f t="shared" si="151"/>
        <v>2852135.8499999996</v>
      </c>
      <c r="BG65" s="18">
        <f t="shared" si="151"/>
        <v>41427.2</v>
      </c>
      <c r="BH65" s="18">
        <f t="shared" si="151"/>
        <v>0</v>
      </c>
      <c r="BI65" s="18">
        <f t="shared" si="151"/>
        <v>3460</v>
      </c>
      <c r="BJ65" s="18">
        <f t="shared" si="151"/>
        <v>0</v>
      </c>
      <c r="BK65" s="18">
        <f t="shared" si="151"/>
        <v>3000</v>
      </c>
      <c r="BL65" s="18">
        <f t="shared" si="151"/>
        <v>400000</v>
      </c>
      <c r="BM65" s="18">
        <f t="shared" si="151"/>
        <v>416583</v>
      </c>
      <c r="BN65" s="18">
        <f t="shared" si="151"/>
        <v>0</v>
      </c>
      <c r="BO65" s="18">
        <f aca="true" t="shared" si="152" ref="BO65:CI65">SUM(BO60:BO64)</f>
        <v>864470.2</v>
      </c>
      <c r="BP65" s="18">
        <f t="shared" si="152"/>
        <v>864470.2</v>
      </c>
      <c r="BQ65" s="18">
        <f t="shared" si="152"/>
        <v>0</v>
      </c>
      <c r="BR65" s="18">
        <f t="shared" si="152"/>
        <v>2852135.8499999996</v>
      </c>
      <c r="BS65" s="18">
        <f t="shared" si="152"/>
        <v>0</v>
      </c>
      <c r="BT65" s="18">
        <f t="shared" si="152"/>
        <v>23822930.18</v>
      </c>
      <c r="BU65" s="18">
        <f t="shared" si="152"/>
        <v>36405749.85</v>
      </c>
      <c r="BV65" s="18">
        <f t="shared" si="152"/>
        <v>0</v>
      </c>
      <c r="BW65" s="18">
        <f t="shared" si="152"/>
        <v>2623156.2600000002</v>
      </c>
      <c r="BX65" s="18">
        <f t="shared" si="152"/>
        <v>62851836.29000001</v>
      </c>
      <c r="BY65" s="18">
        <f t="shared" si="152"/>
        <v>57924396.68</v>
      </c>
      <c r="BZ65" s="18">
        <f t="shared" si="152"/>
        <v>1172122.85</v>
      </c>
      <c r="CA65" s="18">
        <f t="shared" si="152"/>
        <v>3755316.76</v>
      </c>
      <c r="CB65" s="18">
        <f t="shared" si="152"/>
        <v>62851836.29</v>
      </c>
      <c r="CC65" s="18">
        <f t="shared" si="152"/>
        <v>0</v>
      </c>
      <c r="CD65" s="18">
        <f t="shared" si="152"/>
        <v>3533681.59</v>
      </c>
      <c r="CE65" s="18">
        <f t="shared" si="152"/>
        <v>3854374.54</v>
      </c>
      <c r="CF65" s="18">
        <f t="shared" si="152"/>
        <v>1987665.65</v>
      </c>
      <c r="CG65" s="18">
        <f t="shared" si="152"/>
        <v>53983681.44</v>
      </c>
      <c r="CH65" s="18">
        <f t="shared" si="152"/>
        <v>1712790.1</v>
      </c>
      <c r="CI65" s="18">
        <f t="shared" si="152"/>
        <v>5409717.9</v>
      </c>
      <c r="CJ65" s="156">
        <f t="shared" si="115"/>
        <v>1.7778048284931622</v>
      </c>
      <c r="CK65" s="156">
        <f t="shared" si="116"/>
        <v>1.9391463247352492</v>
      </c>
      <c r="CL65" s="156">
        <f t="shared" si="117"/>
        <v>0.06545832917911498</v>
      </c>
      <c r="CM65" s="156">
        <f t="shared" si="118"/>
        <v>0.07139888272132631</v>
      </c>
      <c r="CN65" s="156">
        <f t="shared" si="119"/>
        <v>0.03172792322257006</v>
      </c>
      <c r="CO65" s="156">
        <f t="shared" si="120"/>
        <v>0.10021024420152996</v>
      </c>
      <c r="CP65" s="156">
        <f t="shared" si="121"/>
        <v>0.11693317760079577</v>
      </c>
      <c r="CQ65" s="156">
        <f t="shared" si="122"/>
        <v>0.08967358998060251</v>
      </c>
      <c r="CR65" s="18">
        <f t="shared" si="123"/>
        <v>-8.847470879153327</v>
      </c>
      <c r="CS65" s="18">
        <f t="shared" si="124"/>
        <v>-34101466.5</v>
      </c>
      <c r="CT65" s="18">
        <f t="shared" si="125"/>
        <v>55282286.43</v>
      </c>
      <c r="CU65" s="18">
        <f t="shared" si="126"/>
        <v>58837839.92</v>
      </c>
      <c r="CV65" s="18">
        <f t="shared" si="127"/>
        <v>3555553.490000002</v>
      </c>
      <c r="CW65" s="18">
        <f t="shared" si="128"/>
        <v>-21871.95</v>
      </c>
      <c r="CX65" s="18">
        <f t="shared" si="129"/>
        <v>3533681.540000002</v>
      </c>
      <c r="CY65" s="18">
        <f t="shared" si="130"/>
        <v>-1287063.5099999984</v>
      </c>
      <c r="CZ65" s="18">
        <f t="shared" si="131"/>
        <v>1987665.6499999997</v>
      </c>
      <c r="DA65" s="18">
        <f t="shared" si="132"/>
        <v>4820745.050000001</v>
      </c>
      <c r="DB65" s="18">
        <f t="shared" si="133"/>
        <v>1546015.890000003</v>
      </c>
      <c r="DC65" s="18">
        <f t="shared" si="134"/>
        <v>-5685215.250000001</v>
      </c>
      <c r="DD65" s="18">
        <f t="shared" si="135"/>
        <v>-1287063.5099999984</v>
      </c>
      <c r="DE65" s="18">
        <f t="shared" si="136"/>
        <v>19105261.05</v>
      </c>
      <c r="DF65" s="18">
        <f t="shared" si="137"/>
        <v>-892.5449917554375</v>
      </c>
      <c r="DG65" s="18">
        <f t="shared" si="138"/>
        <v>44.82922239380218</v>
      </c>
      <c r="DH65" s="18">
        <f t="shared" si="139"/>
        <v>500.0460923391002</v>
      </c>
      <c r="DI65" s="18">
        <f t="shared" si="140"/>
        <v>52.023599078702844</v>
      </c>
      <c r="DJ65" s="18">
        <f t="shared" si="141"/>
        <v>40.46420525034687</v>
      </c>
      <c r="DK65" s="18">
        <f t="shared" si="142"/>
        <v>-35273589.35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DO65"/>
  <sheetViews>
    <sheetView workbookViewId="0" topLeftCell="A1">
      <pane xSplit="6" ySplit="2" topLeftCell="CC47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D60" sqref="CD60:CD6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6"/>
      <c r="B1" s="22" t="s">
        <v>200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1:118" s="1" customFormat="1" ht="89.25" customHeight="1">
      <c r="A2" s="47"/>
      <c r="B2" s="38" t="s">
        <v>66</v>
      </c>
      <c r="C2" s="19" t="s">
        <v>37</v>
      </c>
      <c r="D2" s="19" t="s">
        <v>68</v>
      </c>
      <c r="E2" s="19" t="s">
        <v>52</v>
      </c>
      <c r="F2" s="122" t="s">
        <v>216</v>
      </c>
      <c r="G2" s="126" t="s">
        <v>76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28"/>
    </row>
    <row r="3" spans="1:118" s="5" customFormat="1" ht="12.75" customHeight="1">
      <c r="A3" s="48" t="s">
        <v>38</v>
      </c>
      <c r="B3" s="39">
        <v>172</v>
      </c>
      <c r="C3" s="6">
        <v>391363</v>
      </c>
      <c r="D3" s="31">
        <v>2275.37</v>
      </c>
      <c r="E3" s="31">
        <v>71.41</v>
      </c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>
        <f aca="true" t="shared" si="30" ref="DF3:DF14">CS3/B3</f>
        <v>0</v>
      </c>
      <c r="DG3" s="76">
        <f aca="true" t="shared" si="31" ref="DG3:DG14">CH3/B3</f>
        <v>0</v>
      </c>
      <c r="DH3" s="76">
        <f aca="true" t="shared" si="32" ref="DH3:DH14">DE3/B3</f>
        <v>0</v>
      </c>
      <c r="DI3" s="77">
        <f aca="true" t="shared" si="33" ref="DI3:DI14">CZ3/B3</f>
        <v>0</v>
      </c>
      <c r="DJ3" s="72">
        <f aca="true" t="shared" si="34" ref="DJ3:DJ14">DB3/B3</f>
        <v>0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0">
        <v>1929</v>
      </c>
      <c r="C4" s="36">
        <v>5168360</v>
      </c>
      <c r="D4" s="37">
        <v>2679.29</v>
      </c>
      <c r="E4" s="37">
        <v>84.08</v>
      </c>
      <c r="F4" s="124">
        <v>0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>
        <f t="shared" si="30"/>
        <v>0</v>
      </c>
      <c r="DG4" s="76">
        <f t="shared" si="31"/>
        <v>0</v>
      </c>
      <c r="DH4" s="76">
        <f t="shared" si="32"/>
        <v>0</v>
      </c>
      <c r="DI4" s="77">
        <f t="shared" si="33"/>
        <v>0</v>
      </c>
      <c r="DJ4" s="72">
        <f t="shared" si="34"/>
        <v>0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41">
        <v>406</v>
      </c>
      <c r="C5" s="4">
        <v>1105346</v>
      </c>
      <c r="D5" s="32">
        <v>2722.53</v>
      </c>
      <c r="E5" s="32">
        <v>85.44</v>
      </c>
      <c r="F5" s="8">
        <v>10</v>
      </c>
      <c r="G5" s="129">
        <v>325168.45</v>
      </c>
      <c r="H5" s="41">
        <v>67704.4</v>
      </c>
      <c r="I5" s="41">
        <v>30688.3</v>
      </c>
      <c r="J5" s="41">
        <v>0</v>
      </c>
      <c r="K5" s="41">
        <v>59191</v>
      </c>
      <c r="L5" s="41">
        <v>0</v>
      </c>
      <c r="M5" s="41">
        <f t="shared" si="0"/>
        <v>59191</v>
      </c>
      <c r="N5" s="41">
        <v>0</v>
      </c>
      <c r="O5" s="41">
        <v>85306.06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568058.21</v>
      </c>
      <c r="Z5" s="41">
        <v>346931.75</v>
      </c>
      <c r="AA5" s="41">
        <v>0</v>
      </c>
      <c r="AB5" s="41">
        <v>0</v>
      </c>
      <c r="AC5" s="41">
        <v>3614.1</v>
      </c>
      <c r="AD5" s="41">
        <v>0</v>
      </c>
      <c r="AE5" s="41">
        <f t="shared" si="3"/>
        <v>350545.85</v>
      </c>
      <c r="AF5" s="41">
        <v>0</v>
      </c>
      <c r="AG5" s="41">
        <v>0</v>
      </c>
      <c r="AH5" s="41">
        <v>0</v>
      </c>
      <c r="AI5" s="41">
        <v>3877</v>
      </c>
      <c r="AJ5" s="41">
        <v>0</v>
      </c>
      <c r="AK5" s="41">
        <v>0</v>
      </c>
      <c r="AL5" s="41">
        <v>135307.65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489730.5</v>
      </c>
      <c r="AV5" s="4">
        <v>0</v>
      </c>
      <c r="AW5" s="4">
        <v>78327.7</v>
      </c>
      <c r="AX5" s="4">
        <f t="shared" si="6"/>
        <v>0.00999999996565748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32667</v>
      </c>
      <c r="BF5" s="41">
        <f t="shared" si="7"/>
        <v>32667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32667</v>
      </c>
      <c r="BS5" s="41">
        <f t="shared" si="9"/>
        <v>0</v>
      </c>
      <c r="BT5" s="4">
        <v>1086916.7</v>
      </c>
      <c r="BU5" s="4">
        <v>0</v>
      </c>
      <c r="BV5" s="4">
        <v>0</v>
      </c>
      <c r="BW5" s="4">
        <v>61133.9</v>
      </c>
      <c r="BX5" s="4">
        <f t="shared" si="10"/>
        <v>1148050.5999999999</v>
      </c>
      <c r="BY5" s="4">
        <v>988050.6</v>
      </c>
      <c r="BZ5" s="4">
        <v>160000</v>
      </c>
      <c r="CA5" s="4">
        <v>0</v>
      </c>
      <c r="CB5" s="4">
        <f t="shared" si="11"/>
        <v>1148050.6</v>
      </c>
      <c r="CC5" s="4">
        <f t="shared" si="12"/>
        <v>0</v>
      </c>
      <c r="CD5" s="70">
        <f t="shared" si="13"/>
        <v>-19136.699999999997</v>
      </c>
      <c r="CE5" s="72">
        <f t="shared" si="14"/>
        <v>-19136.699999999997</v>
      </c>
      <c r="CF5" s="72">
        <f t="shared" si="15"/>
        <v>32667</v>
      </c>
      <c r="CG5" s="72">
        <f t="shared" si="35"/>
        <v>489730.5</v>
      </c>
      <c r="CH5" s="72">
        <f t="shared" si="16"/>
        <v>30688.3</v>
      </c>
      <c r="CI5" s="35">
        <f t="shared" si="17"/>
        <v>89879.3</v>
      </c>
      <c r="CJ5" s="57">
        <f t="shared" si="36"/>
        <v>-0.585811369271742</v>
      </c>
      <c r="CK5" s="57">
        <f t="shared" si="37"/>
        <v>-0.585811369271742</v>
      </c>
      <c r="CL5" s="148">
        <f t="shared" si="38"/>
        <v>-0.039075981585790544</v>
      </c>
      <c r="CM5" s="148">
        <f t="shared" si="39"/>
        <v>-0.039075981585790544</v>
      </c>
      <c r="CN5" s="148">
        <f t="shared" si="40"/>
        <v>0.06266364868024352</v>
      </c>
      <c r="CO5" s="148">
        <f t="shared" si="41"/>
        <v>0.1835280833029595</v>
      </c>
      <c r="CP5" s="148">
        <f t="shared" si="42"/>
        <v>1</v>
      </c>
      <c r="CQ5" s="148">
        <f t="shared" si="43"/>
        <v>1</v>
      </c>
      <c r="CR5" s="149">
        <f t="shared" si="44"/>
        <v>-5.166308715713785</v>
      </c>
      <c r="CS5" s="72">
        <f t="shared" si="45"/>
        <v>98866.09999999998</v>
      </c>
      <c r="CT5" s="76">
        <f t="shared" si="18"/>
        <v>508867.20999999996</v>
      </c>
      <c r="CU5" s="76">
        <f t="shared" si="19"/>
        <v>489730.5</v>
      </c>
      <c r="CV5" s="76">
        <f t="shared" si="20"/>
        <v>-19136.709999999963</v>
      </c>
      <c r="CW5" s="76">
        <f t="shared" si="21"/>
        <v>0</v>
      </c>
      <c r="CX5" s="76">
        <f t="shared" si="22"/>
        <v>-19136.709999999963</v>
      </c>
      <c r="CY5" s="76">
        <f t="shared" si="23"/>
        <v>-78327.70999999996</v>
      </c>
      <c r="CZ5" s="76">
        <f t="shared" si="24"/>
        <v>32667</v>
      </c>
      <c r="DA5" s="76">
        <f t="shared" si="25"/>
        <v>59191</v>
      </c>
      <c r="DB5" s="76">
        <f t="shared" si="26"/>
        <v>-51803.70999999996</v>
      </c>
      <c r="DC5" s="76">
        <f t="shared" si="27"/>
        <v>-59191</v>
      </c>
      <c r="DD5" s="76">
        <f t="shared" si="28"/>
        <v>-78327.70999999996</v>
      </c>
      <c r="DE5" s="76">
        <f t="shared" si="29"/>
        <v>346931.75</v>
      </c>
      <c r="DF5" s="76">
        <f t="shared" si="30"/>
        <v>243.5125615763546</v>
      </c>
      <c r="DG5" s="76">
        <f t="shared" si="31"/>
        <v>75.58694581280788</v>
      </c>
      <c r="DH5" s="76">
        <f t="shared" si="32"/>
        <v>854.5116995073892</v>
      </c>
      <c r="DI5" s="77">
        <f t="shared" si="33"/>
        <v>80.46059113300493</v>
      </c>
      <c r="DJ5" s="72">
        <f t="shared" si="34"/>
        <v>-127.59534482758612</v>
      </c>
      <c r="DK5" s="151">
        <f aca="true" t="shared" si="46" ref="DK5:DK31">CA5-BW5-BU5</f>
        <v>-61133.9</v>
      </c>
      <c r="DL5" s="72">
        <v>10</v>
      </c>
      <c r="DM5" s="72">
        <v>30</v>
      </c>
      <c r="DN5" s="63">
        <v>0</v>
      </c>
    </row>
    <row r="6" spans="1:118" ht="12.75">
      <c r="A6" s="49" t="s">
        <v>1</v>
      </c>
      <c r="B6" s="40">
        <v>229</v>
      </c>
      <c r="C6" s="36">
        <v>651448</v>
      </c>
      <c r="D6" s="37">
        <v>2844.75</v>
      </c>
      <c r="E6" s="37">
        <v>89.28</v>
      </c>
      <c r="F6" s="124">
        <v>8</v>
      </c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>
        <f t="shared" si="30"/>
        <v>0</v>
      </c>
      <c r="DG6" s="76">
        <f t="shared" si="31"/>
        <v>0</v>
      </c>
      <c r="DH6" s="76">
        <f t="shared" si="32"/>
        <v>0</v>
      </c>
      <c r="DI6" s="77">
        <f t="shared" si="33"/>
        <v>0</v>
      </c>
      <c r="DJ6" s="72">
        <f t="shared" si="34"/>
        <v>0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41">
        <v>745</v>
      </c>
      <c r="C7" s="4">
        <v>1623384</v>
      </c>
      <c r="D7" s="32">
        <v>2179.04</v>
      </c>
      <c r="E7" s="32">
        <v>68.38</v>
      </c>
      <c r="F7" s="8">
        <v>10</v>
      </c>
      <c r="G7" s="143">
        <f>(G50/($B$50)*$B$7)+(G48)</f>
        <v>936034.3031003382</v>
      </c>
      <c r="H7" s="143">
        <f aca="true" t="shared" si="47" ref="H7:BU7">(H50/($B$50)*$B$7)+(H48)</f>
        <v>199193.89213641488</v>
      </c>
      <c r="I7" s="143">
        <f t="shared" si="47"/>
        <v>18172.213190529874</v>
      </c>
      <c r="J7" s="143">
        <f t="shared" si="47"/>
        <v>0</v>
      </c>
      <c r="K7" s="143">
        <f t="shared" si="47"/>
        <v>172643.2</v>
      </c>
      <c r="L7" s="143">
        <f t="shared" si="47"/>
        <v>0</v>
      </c>
      <c r="M7" s="41">
        <f t="shared" si="0"/>
        <v>172643.2</v>
      </c>
      <c r="N7" s="143">
        <f t="shared" si="47"/>
        <v>0</v>
      </c>
      <c r="O7" s="143">
        <f t="shared" si="47"/>
        <v>0</v>
      </c>
      <c r="P7" s="143">
        <f t="shared" si="47"/>
        <v>0</v>
      </c>
      <c r="Q7" s="143">
        <f t="shared" si="47"/>
        <v>0</v>
      </c>
      <c r="R7" s="143">
        <f t="shared" si="47"/>
        <v>0</v>
      </c>
      <c r="S7" s="143">
        <f t="shared" si="47"/>
        <v>0</v>
      </c>
      <c r="T7" s="143">
        <f t="shared" si="47"/>
        <v>0</v>
      </c>
      <c r="U7" s="143">
        <f t="shared" si="47"/>
        <v>0</v>
      </c>
      <c r="V7" s="143">
        <f t="shared" si="47"/>
        <v>0</v>
      </c>
      <c r="W7" s="41">
        <f t="shared" si="1"/>
        <v>0</v>
      </c>
      <c r="X7" s="143">
        <f t="shared" si="47"/>
        <v>0</v>
      </c>
      <c r="Y7" s="41">
        <f t="shared" si="2"/>
        <v>1326043.6084272831</v>
      </c>
      <c r="Z7" s="143">
        <f t="shared" si="47"/>
        <v>255905.1</v>
      </c>
      <c r="AA7" s="143">
        <f t="shared" si="47"/>
        <v>230190.9</v>
      </c>
      <c r="AB7" s="143">
        <f t="shared" si="47"/>
        <v>0</v>
      </c>
      <c r="AC7" s="143">
        <f t="shared" si="47"/>
        <v>3624.9</v>
      </c>
      <c r="AD7" s="143">
        <f t="shared" si="47"/>
        <v>0</v>
      </c>
      <c r="AE7" s="41">
        <f t="shared" si="3"/>
        <v>489720.9</v>
      </c>
      <c r="AF7" s="143">
        <f t="shared" si="47"/>
        <v>0</v>
      </c>
      <c r="AG7" s="143">
        <f t="shared" si="47"/>
        <v>0</v>
      </c>
      <c r="AH7" s="143">
        <f t="shared" si="47"/>
        <v>0</v>
      </c>
      <c r="AI7" s="143">
        <f t="shared" si="47"/>
        <v>0</v>
      </c>
      <c r="AJ7" s="143">
        <f t="shared" si="47"/>
        <v>126091.81693912062</v>
      </c>
      <c r="AK7" s="143">
        <f t="shared" si="47"/>
        <v>176202.45293122888</v>
      </c>
      <c r="AL7" s="143">
        <f t="shared" si="47"/>
        <v>199263.68855693348</v>
      </c>
      <c r="AM7" s="143">
        <f t="shared" si="47"/>
        <v>0</v>
      </c>
      <c r="AN7" s="143">
        <f t="shared" si="47"/>
        <v>0</v>
      </c>
      <c r="AO7" s="143">
        <f t="shared" si="47"/>
        <v>0</v>
      </c>
      <c r="AP7" s="143">
        <f t="shared" si="47"/>
        <v>0</v>
      </c>
      <c r="AQ7" s="143">
        <f t="shared" si="47"/>
        <v>0</v>
      </c>
      <c r="AR7" s="143">
        <f t="shared" si="47"/>
        <v>0</v>
      </c>
      <c r="AS7" s="4">
        <f t="shared" si="4"/>
        <v>0</v>
      </c>
      <c r="AT7" s="143">
        <f t="shared" si="47"/>
        <v>0</v>
      </c>
      <c r="AU7" s="4">
        <f t="shared" si="5"/>
        <v>991278.858427283</v>
      </c>
      <c r="AV7" s="143">
        <f t="shared" si="47"/>
        <v>0</v>
      </c>
      <c r="AW7" s="143">
        <f t="shared" si="47"/>
        <v>334764.75</v>
      </c>
      <c r="AX7" s="4">
        <f t="shared" si="6"/>
        <v>0</v>
      </c>
      <c r="AY7" s="143">
        <f t="shared" si="47"/>
        <v>0</v>
      </c>
      <c r="AZ7" s="143">
        <f t="shared" si="47"/>
        <v>0</v>
      </c>
      <c r="BA7" s="143">
        <f t="shared" si="47"/>
        <v>0</v>
      </c>
      <c r="BB7" s="143">
        <f t="shared" si="47"/>
        <v>0</v>
      </c>
      <c r="BC7" s="143">
        <f t="shared" si="47"/>
        <v>0</v>
      </c>
      <c r="BD7" s="143">
        <f t="shared" si="47"/>
        <v>0</v>
      </c>
      <c r="BE7" s="143">
        <f t="shared" si="47"/>
        <v>0</v>
      </c>
      <c r="BF7" s="41">
        <f t="shared" si="7"/>
        <v>0</v>
      </c>
      <c r="BG7" s="143">
        <f t="shared" si="47"/>
        <v>0</v>
      </c>
      <c r="BH7" s="143">
        <f t="shared" si="47"/>
        <v>0</v>
      </c>
      <c r="BI7" s="143">
        <f t="shared" si="47"/>
        <v>0</v>
      </c>
      <c r="BJ7" s="143">
        <f t="shared" si="47"/>
        <v>0</v>
      </c>
      <c r="BK7" s="143">
        <f t="shared" si="47"/>
        <v>0</v>
      </c>
      <c r="BL7" s="143">
        <f t="shared" si="47"/>
        <v>0</v>
      </c>
      <c r="BM7" s="143">
        <f t="shared" si="47"/>
        <v>0</v>
      </c>
      <c r="BN7" s="143">
        <f t="shared" si="47"/>
        <v>0</v>
      </c>
      <c r="BO7" s="41">
        <f t="shared" si="8"/>
        <v>0</v>
      </c>
      <c r="BP7" s="143">
        <f t="shared" si="47"/>
        <v>0</v>
      </c>
      <c r="BQ7" s="143">
        <f t="shared" si="47"/>
        <v>0</v>
      </c>
      <c r="BR7" s="143">
        <f t="shared" si="47"/>
        <v>0</v>
      </c>
      <c r="BS7" s="41">
        <f t="shared" si="9"/>
        <v>0</v>
      </c>
      <c r="BT7" s="143">
        <f t="shared" si="47"/>
        <v>7220.42</v>
      </c>
      <c r="BU7" s="143">
        <f t="shared" si="47"/>
        <v>0</v>
      </c>
      <c r="BV7" s="143">
        <f aca="true" t="shared" si="48" ref="BV7:CA7">(BV50/($B$50)*$B$7)+(BV48)</f>
        <v>0</v>
      </c>
      <c r="BW7" s="143">
        <f t="shared" si="48"/>
        <v>334764.75</v>
      </c>
      <c r="BX7" s="4">
        <f t="shared" si="10"/>
        <v>341985.17</v>
      </c>
      <c r="BY7" s="143">
        <f t="shared" si="48"/>
        <v>238922.8</v>
      </c>
      <c r="BZ7" s="143">
        <f t="shared" si="48"/>
        <v>0</v>
      </c>
      <c r="CA7" s="143">
        <f t="shared" si="48"/>
        <v>103062.37</v>
      </c>
      <c r="CB7" s="4">
        <f t="shared" si="11"/>
        <v>341985.17</v>
      </c>
      <c r="CC7" s="4">
        <f t="shared" si="12"/>
        <v>0</v>
      </c>
      <c r="CD7" s="70">
        <f t="shared" si="13"/>
        <v>-162121.55</v>
      </c>
      <c r="CE7" s="72">
        <f t="shared" si="14"/>
        <v>-162121.55</v>
      </c>
      <c r="CF7" s="72">
        <f t="shared" si="15"/>
        <v>0</v>
      </c>
      <c r="CG7" s="72">
        <f t="shared" si="35"/>
        <v>991278.858427283</v>
      </c>
      <c r="CH7" s="72">
        <f t="shared" si="16"/>
        <v>18172.213190529874</v>
      </c>
      <c r="CI7" s="35">
        <f t="shared" si="17"/>
        <v>190815.4131905299</v>
      </c>
      <c r="CJ7" s="57" t="str">
        <f t="shared" si="36"/>
        <v>-</v>
      </c>
      <c r="CK7" s="57" t="str">
        <f t="shared" si="37"/>
        <v>-</v>
      </c>
      <c r="CL7" s="148">
        <f t="shared" si="38"/>
        <v>-0.16354787416450556</v>
      </c>
      <c r="CM7" s="148">
        <f t="shared" si="39"/>
        <v>-0.16354787416450556</v>
      </c>
      <c r="CN7" s="148">
        <f t="shared" si="40"/>
        <v>0.01833208994223993</v>
      </c>
      <c r="CO7" s="148">
        <f t="shared" si="41"/>
        <v>0.19249418220546816</v>
      </c>
      <c r="CP7" s="148">
        <f t="shared" si="42"/>
        <v>1</v>
      </c>
      <c r="CQ7" s="148">
        <f t="shared" si="43"/>
        <v>1</v>
      </c>
      <c r="CR7" s="149">
        <f t="shared" si="44"/>
        <v>1.4291892718765642</v>
      </c>
      <c r="CS7" s="72">
        <f t="shared" si="45"/>
        <v>-231702.37999999998</v>
      </c>
      <c r="CT7" s="76">
        <f t="shared" si="18"/>
        <v>1153400.4084272832</v>
      </c>
      <c r="CU7" s="76">
        <f t="shared" si="19"/>
        <v>991278.858427283</v>
      </c>
      <c r="CV7" s="76">
        <f t="shared" si="20"/>
        <v>-162121.55000000016</v>
      </c>
      <c r="CW7" s="76">
        <f t="shared" si="21"/>
        <v>0</v>
      </c>
      <c r="CX7" s="76">
        <f t="shared" si="22"/>
        <v>-162121.55000000016</v>
      </c>
      <c r="CY7" s="76">
        <f t="shared" si="23"/>
        <v>-334764.7500000002</v>
      </c>
      <c r="CZ7" s="76">
        <f t="shared" si="24"/>
        <v>0</v>
      </c>
      <c r="DA7" s="76">
        <f t="shared" si="25"/>
        <v>172643.2</v>
      </c>
      <c r="DB7" s="76">
        <f t="shared" si="26"/>
        <v>-162121.55000000016</v>
      </c>
      <c r="DC7" s="76">
        <f t="shared" si="27"/>
        <v>-172643.2</v>
      </c>
      <c r="DD7" s="76">
        <f t="shared" si="28"/>
        <v>-334764.7500000002</v>
      </c>
      <c r="DE7" s="76">
        <f t="shared" si="29"/>
        <v>486096</v>
      </c>
      <c r="DF7" s="76">
        <f t="shared" si="30"/>
        <v>-311.00990604026845</v>
      </c>
      <c r="DG7" s="76">
        <f t="shared" si="31"/>
        <v>24.3922324705099</v>
      </c>
      <c r="DH7" s="76">
        <f t="shared" si="32"/>
        <v>652.4778523489933</v>
      </c>
      <c r="DI7" s="77">
        <f t="shared" si="33"/>
        <v>0</v>
      </c>
      <c r="DJ7" s="72">
        <f t="shared" si="34"/>
        <v>-217.61281879194652</v>
      </c>
      <c r="DK7" s="151">
        <f t="shared" si="46"/>
        <v>-231702.38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0">
        <v>649</v>
      </c>
      <c r="C8" s="36">
        <v>1709399</v>
      </c>
      <c r="D8" s="37">
        <v>2633.9</v>
      </c>
      <c r="E8" s="37">
        <v>82.66</v>
      </c>
      <c r="F8" s="124">
        <v>10</v>
      </c>
      <c r="G8" s="130">
        <f>(G49/($B$49)*$B$8)+(G50/($B$50)*$B$8)+(G46)</f>
        <v>810131.5232146556</v>
      </c>
      <c r="H8" s="130">
        <f aca="true" t="shared" si="49" ref="H8:BU8">(H49/($B$49)*$B$8)+(H50/($B$50)*$B$8)+(H46)</f>
        <v>151106.9382929706</v>
      </c>
      <c r="I8" s="130">
        <f t="shared" si="49"/>
        <v>16767.113546497676</v>
      </c>
      <c r="J8" s="130">
        <f t="shared" si="49"/>
        <v>0</v>
      </c>
      <c r="K8" s="130">
        <f t="shared" si="49"/>
        <v>138000</v>
      </c>
      <c r="L8" s="130">
        <f t="shared" si="49"/>
        <v>0</v>
      </c>
      <c r="M8" s="41">
        <f t="shared" si="0"/>
        <v>138000</v>
      </c>
      <c r="N8" s="130">
        <f t="shared" si="49"/>
        <v>0</v>
      </c>
      <c r="O8" s="130">
        <f t="shared" si="49"/>
        <v>308251.3776482021</v>
      </c>
      <c r="P8" s="130">
        <f t="shared" si="49"/>
        <v>0</v>
      </c>
      <c r="Q8" s="130">
        <f t="shared" si="49"/>
        <v>0</v>
      </c>
      <c r="R8" s="130">
        <f t="shared" si="49"/>
        <v>0</v>
      </c>
      <c r="S8" s="130">
        <f t="shared" si="49"/>
        <v>0</v>
      </c>
      <c r="T8" s="130">
        <f t="shared" si="49"/>
        <v>0</v>
      </c>
      <c r="U8" s="130">
        <f t="shared" si="49"/>
        <v>0</v>
      </c>
      <c r="V8" s="130">
        <f t="shared" si="49"/>
        <v>0</v>
      </c>
      <c r="W8" s="41">
        <f t="shared" si="1"/>
        <v>0</v>
      </c>
      <c r="X8" s="130">
        <f t="shared" si="49"/>
        <v>277.6382896015549</v>
      </c>
      <c r="Y8" s="41">
        <f t="shared" si="2"/>
        <v>1424534.5909919273</v>
      </c>
      <c r="Z8" s="130">
        <f t="shared" si="49"/>
        <v>186413.45</v>
      </c>
      <c r="AA8" s="130">
        <f t="shared" si="49"/>
        <v>43860.9</v>
      </c>
      <c r="AB8" s="130">
        <f t="shared" si="49"/>
        <v>0</v>
      </c>
      <c r="AC8" s="130">
        <f t="shared" si="49"/>
        <v>2807.35</v>
      </c>
      <c r="AD8" s="130">
        <f t="shared" si="49"/>
        <v>0</v>
      </c>
      <c r="AE8" s="41">
        <f t="shared" si="3"/>
        <v>233081.7</v>
      </c>
      <c r="AF8" s="130">
        <f t="shared" si="49"/>
        <v>0</v>
      </c>
      <c r="AG8" s="130">
        <f t="shared" si="49"/>
        <v>0</v>
      </c>
      <c r="AH8" s="130">
        <f t="shared" si="49"/>
        <v>0</v>
      </c>
      <c r="AI8" s="130">
        <f t="shared" si="49"/>
        <v>37001.38872691934</v>
      </c>
      <c r="AJ8" s="130">
        <f t="shared" si="49"/>
        <v>368259.0190053554</v>
      </c>
      <c r="AK8" s="130">
        <f t="shared" si="49"/>
        <v>275761.15301033284</v>
      </c>
      <c r="AL8" s="130">
        <f t="shared" si="49"/>
        <v>321823.890987901</v>
      </c>
      <c r="AM8" s="130">
        <f t="shared" si="49"/>
        <v>0</v>
      </c>
      <c r="AN8" s="130">
        <f t="shared" si="49"/>
        <v>0</v>
      </c>
      <c r="AO8" s="130">
        <f t="shared" si="49"/>
        <v>0</v>
      </c>
      <c r="AP8" s="130">
        <f t="shared" si="49"/>
        <v>0</v>
      </c>
      <c r="AQ8" s="130">
        <f t="shared" si="49"/>
        <v>0</v>
      </c>
      <c r="AR8" s="130">
        <f t="shared" si="49"/>
        <v>0</v>
      </c>
      <c r="AS8" s="4">
        <f t="shared" si="4"/>
        <v>0</v>
      </c>
      <c r="AT8" s="130">
        <f t="shared" si="49"/>
        <v>8347.439261418855</v>
      </c>
      <c r="AU8" s="4">
        <f t="shared" si="5"/>
        <v>1244274.5909919275</v>
      </c>
      <c r="AV8" s="130">
        <f t="shared" si="49"/>
        <v>0</v>
      </c>
      <c r="AW8" s="130">
        <f t="shared" si="49"/>
        <v>180260</v>
      </c>
      <c r="AX8" s="4">
        <f t="shared" si="6"/>
        <v>-2.3283064365386963E-10</v>
      </c>
      <c r="AY8" s="130">
        <f t="shared" si="49"/>
        <v>0</v>
      </c>
      <c r="AZ8" s="130">
        <f t="shared" si="49"/>
        <v>0</v>
      </c>
      <c r="BA8" s="130">
        <f t="shared" si="49"/>
        <v>0</v>
      </c>
      <c r="BB8" s="130">
        <f t="shared" si="49"/>
        <v>0</v>
      </c>
      <c r="BC8" s="130">
        <f t="shared" si="49"/>
        <v>0</v>
      </c>
      <c r="BD8" s="130">
        <f t="shared" si="49"/>
        <v>0</v>
      </c>
      <c r="BE8" s="130">
        <f t="shared" si="49"/>
        <v>0</v>
      </c>
      <c r="BF8" s="41">
        <f t="shared" si="7"/>
        <v>0</v>
      </c>
      <c r="BG8" s="130">
        <f t="shared" si="49"/>
        <v>0</v>
      </c>
      <c r="BH8" s="130">
        <f t="shared" si="49"/>
        <v>0</v>
      </c>
      <c r="BI8" s="130">
        <f t="shared" si="49"/>
        <v>0</v>
      </c>
      <c r="BJ8" s="130">
        <f t="shared" si="49"/>
        <v>0</v>
      </c>
      <c r="BK8" s="130">
        <f t="shared" si="49"/>
        <v>0</v>
      </c>
      <c r="BL8" s="130">
        <f t="shared" si="49"/>
        <v>0</v>
      </c>
      <c r="BM8" s="130">
        <f t="shared" si="49"/>
        <v>0</v>
      </c>
      <c r="BN8" s="130">
        <f t="shared" si="49"/>
        <v>0</v>
      </c>
      <c r="BO8" s="41">
        <f t="shared" si="8"/>
        <v>0</v>
      </c>
      <c r="BP8" s="130">
        <f t="shared" si="49"/>
        <v>0</v>
      </c>
      <c r="BQ8" s="130">
        <f t="shared" si="49"/>
        <v>0</v>
      </c>
      <c r="BR8" s="130">
        <f t="shared" si="49"/>
        <v>0</v>
      </c>
      <c r="BS8" s="41">
        <f t="shared" si="9"/>
        <v>0</v>
      </c>
      <c r="BT8" s="130">
        <f t="shared" si="49"/>
        <v>0</v>
      </c>
      <c r="BU8" s="130">
        <f t="shared" si="49"/>
        <v>278668.9</v>
      </c>
      <c r="BV8" s="130">
        <f aca="true" t="shared" si="50" ref="BV8:CA8">(BV49/($B$49)*$B$8)+(BV50/($B$50)*$B$8)+(BV46)</f>
        <v>0</v>
      </c>
      <c r="BW8" s="130">
        <f t="shared" si="50"/>
        <v>107096.75</v>
      </c>
      <c r="BX8" s="4">
        <f t="shared" si="10"/>
        <v>385765.65</v>
      </c>
      <c r="BY8" s="130">
        <f t="shared" si="50"/>
        <v>385765.65</v>
      </c>
      <c r="BZ8" s="130">
        <f t="shared" si="50"/>
        <v>0</v>
      </c>
      <c r="CA8" s="130">
        <f t="shared" si="50"/>
        <v>0</v>
      </c>
      <c r="CB8" s="4">
        <f t="shared" si="11"/>
        <v>385765.65</v>
      </c>
      <c r="CC8" s="4">
        <f t="shared" si="12"/>
        <v>0</v>
      </c>
      <c r="CD8" s="70">
        <f t="shared" si="13"/>
        <v>-42260</v>
      </c>
      <c r="CE8" s="72">
        <f t="shared" si="14"/>
        <v>-42260</v>
      </c>
      <c r="CF8" s="72">
        <f t="shared" si="15"/>
        <v>0</v>
      </c>
      <c r="CG8" s="72">
        <f t="shared" si="35"/>
        <v>1235927.1517305088</v>
      </c>
      <c r="CH8" s="72">
        <f t="shared" si="16"/>
        <v>16767.113546497676</v>
      </c>
      <c r="CI8" s="35">
        <f t="shared" si="17"/>
        <v>154767.11354649768</v>
      </c>
      <c r="CJ8" s="57" t="str">
        <f t="shared" si="36"/>
        <v>-</v>
      </c>
      <c r="CK8" s="57" t="str">
        <f t="shared" si="37"/>
        <v>-</v>
      </c>
      <c r="CL8" s="148">
        <f t="shared" si="38"/>
        <v>-0.03419295380057699</v>
      </c>
      <c r="CM8" s="148">
        <f t="shared" si="39"/>
        <v>-0.03419295380057699</v>
      </c>
      <c r="CN8" s="148">
        <f t="shared" si="40"/>
        <v>0.013566425434558063</v>
      </c>
      <c r="CO8" s="148">
        <f t="shared" si="41"/>
        <v>0.12522349179706696</v>
      </c>
      <c r="CP8" s="148">
        <f t="shared" si="42"/>
        <v>0.33119822477751515</v>
      </c>
      <c r="CQ8" s="148">
        <f t="shared" si="43"/>
        <v>0.33119822477751515</v>
      </c>
      <c r="CR8" s="149">
        <f t="shared" si="44"/>
        <v>9.12838736393753</v>
      </c>
      <c r="CS8" s="72">
        <f t="shared" si="45"/>
        <v>-385765.65</v>
      </c>
      <c r="CT8" s="76">
        <f t="shared" si="18"/>
        <v>1286534.5909919273</v>
      </c>
      <c r="CU8" s="76">
        <f t="shared" si="19"/>
        <v>1244274.5909919275</v>
      </c>
      <c r="CV8" s="76">
        <f t="shared" si="20"/>
        <v>-42259.99999999977</v>
      </c>
      <c r="CW8" s="76">
        <f t="shared" si="21"/>
        <v>0</v>
      </c>
      <c r="CX8" s="76">
        <f t="shared" si="22"/>
        <v>-42259.99999999977</v>
      </c>
      <c r="CY8" s="76">
        <f t="shared" si="23"/>
        <v>-180259.99999999977</v>
      </c>
      <c r="CZ8" s="76">
        <f t="shared" si="24"/>
        <v>0</v>
      </c>
      <c r="DA8" s="76">
        <f t="shared" si="25"/>
        <v>138000</v>
      </c>
      <c r="DB8" s="76">
        <f t="shared" si="26"/>
        <v>-42259.99999999977</v>
      </c>
      <c r="DC8" s="76">
        <f t="shared" si="27"/>
        <v>-138000</v>
      </c>
      <c r="DD8" s="76">
        <f t="shared" si="28"/>
        <v>-180259.99999999977</v>
      </c>
      <c r="DE8" s="76">
        <f t="shared" si="29"/>
        <v>230274.35</v>
      </c>
      <c r="DF8" s="76">
        <f t="shared" si="30"/>
        <v>-594.4000770416025</v>
      </c>
      <c r="DG8" s="76">
        <f t="shared" si="31"/>
        <v>25.835305926806896</v>
      </c>
      <c r="DH8" s="76">
        <f t="shared" si="32"/>
        <v>354.8140986132512</v>
      </c>
      <c r="DI8" s="77">
        <f t="shared" si="33"/>
        <v>0</v>
      </c>
      <c r="DJ8" s="72">
        <f t="shared" si="34"/>
        <v>-65.11556240369764</v>
      </c>
      <c r="DK8" s="151">
        <f t="shared" si="46"/>
        <v>-385765.65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41">
        <v>2738</v>
      </c>
      <c r="C9" s="4">
        <v>8881675</v>
      </c>
      <c r="D9" s="32">
        <v>3243.86</v>
      </c>
      <c r="E9" s="32">
        <v>101.8</v>
      </c>
      <c r="F9" s="8">
        <v>10</v>
      </c>
      <c r="G9" s="129">
        <v>1859588.7</v>
      </c>
      <c r="H9" s="41">
        <v>281197.45</v>
      </c>
      <c r="I9" s="41">
        <v>8246.95</v>
      </c>
      <c r="J9" s="41">
        <v>0</v>
      </c>
      <c r="K9" s="41">
        <v>100000</v>
      </c>
      <c r="L9" s="41">
        <v>0</v>
      </c>
      <c r="M9" s="41">
        <f t="shared" si="0"/>
        <v>100000</v>
      </c>
      <c r="N9" s="41">
        <v>0</v>
      </c>
      <c r="O9" s="41">
        <v>765309.05</v>
      </c>
      <c r="P9" s="41">
        <v>0</v>
      </c>
      <c r="Q9" s="41">
        <v>0</v>
      </c>
      <c r="R9" s="41">
        <v>0</v>
      </c>
      <c r="S9" s="41">
        <v>0</v>
      </c>
      <c r="T9" s="41">
        <v>100000</v>
      </c>
      <c r="U9" s="41">
        <v>0</v>
      </c>
      <c r="V9" s="41">
        <v>0</v>
      </c>
      <c r="W9" s="41">
        <f t="shared" si="1"/>
        <v>100000</v>
      </c>
      <c r="X9" s="41">
        <v>0</v>
      </c>
      <c r="Y9" s="41">
        <f t="shared" si="2"/>
        <v>3114342.1500000004</v>
      </c>
      <c r="Z9" s="41">
        <v>1226510.2</v>
      </c>
      <c r="AA9" s="41">
        <v>100795.3</v>
      </c>
      <c r="AB9" s="41">
        <v>0</v>
      </c>
      <c r="AC9" s="41">
        <v>16889.3</v>
      </c>
      <c r="AD9" s="41">
        <v>0</v>
      </c>
      <c r="AE9" s="41">
        <f t="shared" si="3"/>
        <v>1344194.8</v>
      </c>
      <c r="AF9" s="41">
        <v>0</v>
      </c>
      <c r="AG9" s="41">
        <v>16608.9</v>
      </c>
      <c r="AH9" s="41">
        <v>0</v>
      </c>
      <c r="AI9" s="41">
        <v>7748</v>
      </c>
      <c r="AJ9" s="41">
        <v>901650</v>
      </c>
      <c r="AK9" s="41">
        <v>7536.85</v>
      </c>
      <c r="AL9" s="41">
        <v>818132.7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3095871.25</v>
      </c>
      <c r="AV9" s="4">
        <v>0</v>
      </c>
      <c r="AW9" s="4">
        <v>18470.9</v>
      </c>
      <c r="AX9" s="4">
        <f t="shared" si="6"/>
        <v>3.710738383233547E-10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f t="shared" si="8"/>
        <v>0</v>
      </c>
      <c r="BP9" s="41">
        <v>0</v>
      </c>
      <c r="BQ9" s="41">
        <v>0</v>
      </c>
      <c r="BR9" s="41">
        <v>0</v>
      </c>
      <c r="BS9" s="41">
        <f t="shared" si="9"/>
        <v>0</v>
      </c>
      <c r="BT9" s="4">
        <v>1184826.75</v>
      </c>
      <c r="BU9" s="4">
        <v>870004</v>
      </c>
      <c r="BV9" s="4">
        <v>0</v>
      </c>
      <c r="BW9" s="4">
        <v>0</v>
      </c>
      <c r="BX9" s="4">
        <f t="shared" si="10"/>
        <v>2054830.75</v>
      </c>
      <c r="BY9" s="4">
        <v>962275.8</v>
      </c>
      <c r="BZ9" s="4">
        <v>715537.7</v>
      </c>
      <c r="CA9" s="4">
        <v>377017.25</v>
      </c>
      <c r="CB9" s="4">
        <f t="shared" si="11"/>
        <v>2054830.75</v>
      </c>
      <c r="CC9" s="4">
        <f t="shared" si="12"/>
        <v>0</v>
      </c>
      <c r="CD9" s="70">
        <f t="shared" si="13"/>
        <v>81529.1</v>
      </c>
      <c r="CE9" s="72">
        <f t="shared" si="14"/>
        <v>181529.1</v>
      </c>
      <c r="CF9" s="72">
        <f t="shared" si="15"/>
        <v>0</v>
      </c>
      <c r="CG9" s="72">
        <f t="shared" si="35"/>
        <v>3095871.25</v>
      </c>
      <c r="CH9" s="72">
        <f t="shared" si="16"/>
        <v>-8361.95</v>
      </c>
      <c r="CI9" s="35">
        <f t="shared" si="17"/>
        <v>91638.05</v>
      </c>
      <c r="CJ9" s="57" t="str">
        <f t="shared" si="36"/>
        <v>-</v>
      </c>
      <c r="CK9" s="57" t="str">
        <f t="shared" si="37"/>
        <v>-</v>
      </c>
      <c r="CL9" s="148">
        <f t="shared" si="38"/>
        <v>0.026334783786631955</v>
      </c>
      <c r="CM9" s="148">
        <f t="shared" si="39"/>
        <v>0.05863586865894375</v>
      </c>
      <c r="CN9" s="148">
        <f t="shared" si="40"/>
        <v>-0.002701000566480276</v>
      </c>
      <c r="CO9" s="148">
        <f t="shared" si="41"/>
        <v>0.02960008430583152</v>
      </c>
      <c r="CP9" s="148">
        <f t="shared" si="42"/>
        <v>0.1030923583820273</v>
      </c>
      <c r="CQ9" s="148">
        <f t="shared" si="43"/>
        <v>0.1030923583820273</v>
      </c>
      <c r="CR9" s="149">
        <f t="shared" si="44"/>
        <v>1.2259794710600116</v>
      </c>
      <c r="CS9" s="72">
        <f t="shared" si="45"/>
        <v>222550.94999999995</v>
      </c>
      <c r="CT9" s="76">
        <f t="shared" si="18"/>
        <v>3014342.1500000004</v>
      </c>
      <c r="CU9" s="76">
        <f t="shared" si="19"/>
        <v>3095871.25</v>
      </c>
      <c r="CV9" s="76">
        <f t="shared" si="20"/>
        <v>81529.09999999963</v>
      </c>
      <c r="CW9" s="76">
        <f t="shared" si="21"/>
        <v>0</v>
      </c>
      <c r="CX9" s="76">
        <f t="shared" si="22"/>
        <v>81529.09999999963</v>
      </c>
      <c r="CY9" s="76">
        <f t="shared" si="23"/>
        <v>-18470.900000000373</v>
      </c>
      <c r="CZ9" s="76">
        <f t="shared" si="24"/>
        <v>0</v>
      </c>
      <c r="DA9" s="76">
        <f t="shared" si="25"/>
        <v>100000</v>
      </c>
      <c r="DB9" s="76">
        <f t="shared" si="26"/>
        <v>81529.09999999963</v>
      </c>
      <c r="DC9" s="76">
        <f t="shared" si="27"/>
        <v>-100000</v>
      </c>
      <c r="DD9" s="76">
        <f t="shared" si="28"/>
        <v>-18470.900000000373</v>
      </c>
      <c r="DE9" s="76">
        <f t="shared" si="29"/>
        <v>1327305.5</v>
      </c>
      <c r="DF9" s="76">
        <f t="shared" si="30"/>
        <v>81.28230460189918</v>
      </c>
      <c r="DG9" s="76">
        <f t="shared" si="31"/>
        <v>-3.0540357925493065</v>
      </c>
      <c r="DH9" s="76">
        <f t="shared" si="32"/>
        <v>484.7719138056976</v>
      </c>
      <c r="DI9" s="77">
        <f t="shared" si="33"/>
        <v>0</v>
      </c>
      <c r="DJ9" s="72">
        <f t="shared" si="34"/>
        <v>29.776880934988906</v>
      </c>
      <c r="DK9" s="151">
        <f t="shared" si="46"/>
        <v>-492986.75</v>
      </c>
      <c r="DL9" s="72">
        <v>59</v>
      </c>
      <c r="DM9" s="72">
        <v>210</v>
      </c>
      <c r="DN9" s="63">
        <v>0</v>
      </c>
    </row>
    <row r="10" spans="1:118" ht="12.75">
      <c r="A10" s="49" t="s">
        <v>5</v>
      </c>
      <c r="B10" s="40">
        <v>531</v>
      </c>
      <c r="C10" s="36">
        <v>1161116</v>
      </c>
      <c r="D10" s="37">
        <v>2186.66</v>
      </c>
      <c r="E10" s="37">
        <v>68.62</v>
      </c>
      <c r="F10" s="124">
        <v>10</v>
      </c>
      <c r="G10" s="130">
        <v>404935.25</v>
      </c>
      <c r="H10" s="40">
        <v>46072.75</v>
      </c>
      <c r="I10" s="40">
        <v>40060.9</v>
      </c>
      <c r="J10" s="40">
        <v>0</v>
      </c>
      <c r="K10" s="40">
        <v>58322.45</v>
      </c>
      <c r="L10" s="40">
        <v>0</v>
      </c>
      <c r="M10" s="41">
        <f t="shared" si="0"/>
        <v>58322.45</v>
      </c>
      <c r="N10" s="40">
        <v>0</v>
      </c>
      <c r="O10" s="40">
        <v>177017.3</v>
      </c>
      <c r="P10" s="40">
        <v>5000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731408.6499999999</v>
      </c>
      <c r="Z10" s="40">
        <v>156323.55</v>
      </c>
      <c r="AA10" s="40">
        <v>0</v>
      </c>
      <c r="AB10" s="40">
        <v>0</v>
      </c>
      <c r="AC10" s="40">
        <v>2253.55</v>
      </c>
      <c r="AD10" s="40">
        <v>0</v>
      </c>
      <c r="AE10" s="41">
        <f t="shared" si="3"/>
        <v>158577.09999999998</v>
      </c>
      <c r="AF10" s="40">
        <v>0</v>
      </c>
      <c r="AG10" s="40">
        <v>86.75</v>
      </c>
      <c r="AH10" s="40">
        <v>0</v>
      </c>
      <c r="AI10" s="40">
        <v>4401.05</v>
      </c>
      <c r="AJ10" s="40">
        <v>231226.95</v>
      </c>
      <c r="AK10" s="40">
        <v>0</v>
      </c>
      <c r="AL10" s="40">
        <v>289523.85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683815.7</v>
      </c>
      <c r="AV10" s="36">
        <v>0</v>
      </c>
      <c r="AW10" s="36">
        <v>47592.95</v>
      </c>
      <c r="AX10" s="4">
        <f t="shared" si="6"/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314328.8</v>
      </c>
      <c r="BU10" s="36">
        <v>858954.55</v>
      </c>
      <c r="BV10" s="36">
        <v>0</v>
      </c>
      <c r="BW10" s="36">
        <v>13468.85</v>
      </c>
      <c r="BX10" s="4">
        <f t="shared" si="10"/>
        <v>1186752.2000000002</v>
      </c>
      <c r="BY10" s="36">
        <v>1186752.2</v>
      </c>
      <c r="BZ10" s="36">
        <v>0</v>
      </c>
      <c r="CA10" s="36">
        <v>0</v>
      </c>
      <c r="CB10" s="4">
        <f t="shared" si="11"/>
        <v>1186752.2</v>
      </c>
      <c r="CC10" s="4">
        <f t="shared" si="12"/>
        <v>0</v>
      </c>
      <c r="CD10" s="70">
        <f t="shared" si="13"/>
        <v>10729.5</v>
      </c>
      <c r="CE10" s="72">
        <f t="shared" si="14"/>
        <v>10729.5</v>
      </c>
      <c r="CF10" s="72">
        <f t="shared" si="15"/>
        <v>0</v>
      </c>
      <c r="CG10" s="72">
        <f t="shared" si="35"/>
        <v>683815.7</v>
      </c>
      <c r="CH10" s="72">
        <f t="shared" si="16"/>
        <v>39974.15</v>
      </c>
      <c r="CI10" s="35">
        <f t="shared" si="17"/>
        <v>98296.6</v>
      </c>
      <c r="CJ10" s="57" t="str">
        <f t="shared" si="36"/>
        <v>-</v>
      </c>
      <c r="CK10" s="57" t="str">
        <f t="shared" si="37"/>
        <v>-</v>
      </c>
      <c r="CL10" s="148">
        <f t="shared" si="38"/>
        <v>0.015690631262195356</v>
      </c>
      <c r="CM10" s="148">
        <f t="shared" si="39"/>
        <v>0.015690631262195356</v>
      </c>
      <c r="CN10" s="148">
        <f t="shared" si="40"/>
        <v>0.05845749081221739</v>
      </c>
      <c r="CO10" s="148">
        <f t="shared" si="41"/>
        <v>0.1437472114196852</v>
      </c>
      <c r="CP10" s="148">
        <f t="shared" si="42"/>
        <v>0.06358215675308548</v>
      </c>
      <c r="CQ10" s="148">
        <f t="shared" si="43"/>
        <v>0.06358215675308548</v>
      </c>
      <c r="CR10" s="149">
        <f t="shared" si="44"/>
        <v>-81.3107227736614</v>
      </c>
      <c r="CS10" s="72">
        <f t="shared" si="45"/>
        <v>-872423.3999999999</v>
      </c>
      <c r="CT10" s="76">
        <f t="shared" si="18"/>
        <v>673086.2</v>
      </c>
      <c r="CU10" s="76">
        <f t="shared" si="19"/>
        <v>683815.7</v>
      </c>
      <c r="CV10" s="76">
        <f t="shared" si="20"/>
        <v>10729.5</v>
      </c>
      <c r="CW10" s="76">
        <f t="shared" si="21"/>
        <v>0</v>
      </c>
      <c r="CX10" s="76">
        <f t="shared" si="22"/>
        <v>10729.5</v>
      </c>
      <c r="CY10" s="76">
        <f t="shared" si="23"/>
        <v>-47592.95</v>
      </c>
      <c r="CZ10" s="76">
        <f t="shared" si="24"/>
        <v>0</v>
      </c>
      <c r="DA10" s="76">
        <f t="shared" si="25"/>
        <v>58322.45</v>
      </c>
      <c r="DB10" s="76">
        <f t="shared" si="26"/>
        <v>10729.5</v>
      </c>
      <c r="DC10" s="76">
        <f t="shared" si="27"/>
        <v>-58322.45</v>
      </c>
      <c r="DD10" s="76">
        <f t="shared" si="28"/>
        <v>-47592.95</v>
      </c>
      <c r="DE10" s="76">
        <f t="shared" si="29"/>
        <v>156323.55</v>
      </c>
      <c r="DF10" s="76">
        <f t="shared" si="30"/>
        <v>-1642.9819209039547</v>
      </c>
      <c r="DG10" s="76">
        <f t="shared" si="31"/>
        <v>75.28088512241055</v>
      </c>
      <c r="DH10" s="76">
        <f t="shared" si="32"/>
        <v>294.39463276836153</v>
      </c>
      <c r="DI10" s="77">
        <f t="shared" si="33"/>
        <v>0</v>
      </c>
      <c r="DJ10" s="72">
        <f t="shared" si="34"/>
        <v>20.206214689265536</v>
      </c>
      <c r="DK10" s="151">
        <f t="shared" si="46"/>
        <v>-872423.4</v>
      </c>
      <c r="DL10" s="136">
        <v>11</v>
      </c>
      <c r="DM10" s="136">
        <v>47</v>
      </c>
      <c r="DN10" s="65">
        <v>0</v>
      </c>
    </row>
    <row r="11" spans="1:118" ht="12.75">
      <c r="A11" s="50" t="s">
        <v>6</v>
      </c>
      <c r="B11" s="41">
        <v>5551</v>
      </c>
      <c r="C11" s="4">
        <v>21735233</v>
      </c>
      <c r="D11" s="32">
        <v>3915.55</v>
      </c>
      <c r="E11" s="32">
        <v>122.88</v>
      </c>
      <c r="F11" s="8">
        <v>14</v>
      </c>
      <c r="G11" s="129">
        <f>(G42/($B$11+$B$27)*$B$11)</f>
        <v>4310983.727133851</v>
      </c>
      <c r="H11" s="129">
        <f aca="true" t="shared" si="51" ref="H11:AD11">(H42/($B$11+$B$27)*$B$11)</f>
        <v>945466.896209182</v>
      </c>
      <c r="I11" s="129">
        <f t="shared" si="51"/>
        <v>340549.63246039447</v>
      </c>
      <c r="J11" s="129">
        <f t="shared" si="51"/>
        <v>0</v>
      </c>
      <c r="K11" s="129">
        <f t="shared" si="51"/>
        <v>595415.4610895572</v>
      </c>
      <c r="L11" s="129">
        <f t="shared" si="51"/>
        <v>0</v>
      </c>
      <c r="M11" s="41">
        <f t="shared" si="0"/>
        <v>595415.4610895572</v>
      </c>
      <c r="N11" s="129">
        <f t="shared" si="51"/>
        <v>0</v>
      </c>
      <c r="O11" s="129">
        <f t="shared" si="51"/>
        <v>1598174.8510588424</v>
      </c>
      <c r="P11" s="129">
        <f t="shared" si="51"/>
        <v>0</v>
      </c>
      <c r="Q11" s="129">
        <f t="shared" si="51"/>
        <v>0</v>
      </c>
      <c r="R11" s="129">
        <f t="shared" si="51"/>
        <v>0</v>
      </c>
      <c r="S11" s="129">
        <f t="shared" si="51"/>
        <v>0</v>
      </c>
      <c r="T11" s="129">
        <f t="shared" si="51"/>
        <v>0</v>
      </c>
      <c r="U11" s="129">
        <f t="shared" si="51"/>
        <v>0</v>
      </c>
      <c r="V11" s="129">
        <f t="shared" si="51"/>
        <v>0</v>
      </c>
      <c r="W11" s="41">
        <f t="shared" si="1"/>
        <v>0</v>
      </c>
      <c r="X11" s="129">
        <f t="shared" si="51"/>
        <v>0</v>
      </c>
      <c r="Y11" s="41">
        <f t="shared" si="2"/>
        <v>7790590.567951827</v>
      </c>
      <c r="Z11" s="129">
        <f t="shared" si="51"/>
        <v>3601280.211259295</v>
      </c>
      <c r="AA11" s="129">
        <f t="shared" si="51"/>
        <v>194103.64579696086</v>
      </c>
      <c r="AB11" s="129">
        <f t="shared" si="51"/>
        <v>0</v>
      </c>
      <c r="AC11" s="129">
        <f t="shared" si="51"/>
        <v>30796.294730035563</v>
      </c>
      <c r="AD11" s="129">
        <f t="shared" si="51"/>
        <v>0</v>
      </c>
      <c r="AE11" s="41">
        <f t="shared" si="3"/>
        <v>3826180.1517862915</v>
      </c>
      <c r="AF11" s="129">
        <f>(AF42/($B$11+$B$27)*$B$11)</f>
        <v>0</v>
      </c>
      <c r="AG11" s="129">
        <f aca="true" t="shared" si="52" ref="AG11:CA11">(AG42/($B$11+$B$27)*$B$11)</f>
        <v>206493.47600226317</v>
      </c>
      <c r="AH11" s="129">
        <f t="shared" si="52"/>
        <v>0</v>
      </c>
      <c r="AI11" s="129">
        <f t="shared" si="52"/>
        <v>193279.65521338506</v>
      </c>
      <c r="AJ11" s="129">
        <f t="shared" si="52"/>
        <v>1521433.1734076948</v>
      </c>
      <c r="AK11" s="129">
        <f t="shared" si="52"/>
        <v>57461.91322340769</v>
      </c>
      <c r="AL11" s="129">
        <f t="shared" si="52"/>
        <v>1652029.1975590044</v>
      </c>
      <c r="AM11" s="129">
        <f t="shared" si="52"/>
        <v>0</v>
      </c>
      <c r="AN11" s="129">
        <f t="shared" si="52"/>
        <v>0</v>
      </c>
      <c r="AO11" s="129">
        <f t="shared" si="52"/>
        <v>0</v>
      </c>
      <c r="AP11" s="129">
        <f t="shared" si="52"/>
        <v>0</v>
      </c>
      <c r="AQ11" s="129">
        <f t="shared" si="52"/>
        <v>0</v>
      </c>
      <c r="AR11" s="129">
        <f t="shared" si="52"/>
        <v>0</v>
      </c>
      <c r="AS11" s="4">
        <f t="shared" si="4"/>
        <v>0</v>
      </c>
      <c r="AT11" s="129">
        <f t="shared" si="52"/>
        <v>114256.73731005496</v>
      </c>
      <c r="AU11" s="4">
        <f t="shared" si="5"/>
        <v>7571134.304502102</v>
      </c>
      <c r="AV11" s="129">
        <f t="shared" si="52"/>
        <v>0</v>
      </c>
      <c r="AW11" s="129">
        <f t="shared" si="52"/>
        <v>219456.2634497252</v>
      </c>
      <c r="AX11" s="4">
        <f t="shared" si="6"/>
        <v>4.94765117764473E-10</v>
      </c>
      <c r="AY11" s="129">
        <f t="shared" si="52"/>
        <v>0</v>
      </c>
      <c r="AZ11" s="129">
        <f t="shared" si="52"/>
        <v>31334.30023440026</v>
      </c>
      <c r="BA11" s="129">
        <f t="shared" si="52"/>
        <v>52981.27093436792</v>
      </c>
      <c r="BB11" s="129">
        <f t="shared" si="52"/>
        <v>0</v>
      </c>
      <c r="BC11" s="129">
        <f t="shared" si="52"/>
        <v>0</v>
      </c>
      <c r="BD11" s="129">
        <f t="shared" si="52"/>
        <v>0</v>
      </c>
      <c r="BE11" s="129">
        <f t="shared" si="52"/>
        <v>0</v>
      </c>
      <c r="BF11" s="41">
        <f t="shared" si="7"/>
        <v>84315.57116876819</v>
      </c>
      <c r="BG11" s="129">
        <f t="shared" si="52"/>
        <v>0</v>
      </c>
      <c r="BH11" s="129">
        <f t="shared" si="52"/>
        <v>0</v>
      </c>
      <c r="BI11" s="129">
        <f t="shared" si="52"/>
        <v>0</v>
      </c>
      <c r="BJ11" s="129">
        <f t="shared" si="52"/>
        <v>0</v>
      </c>
      <c r="BK11" s="129">
        <f t="shared" si="52"/>
        <v>10365.276592305205</v>
      </c>
      <c r="BL11" s="129">
        <f t="shared" si="52"/>
        <v>0</v>
      </c>
      <c r="BM11" s="129">
        <f t="shared" si="52"/>
        <v>0</v>
      </c>
      <c r="BN11" s="129">
        <f t="shared" si="52"/>
        <v>0</v>
      </c>
      <c r="BO11" s="41">
        <f t="shared" si="8"/>
        <v>10365.276592305205</v>
      </c>
      <c r="BP11" s="129">
        <f t="shared" si="52"/>
        <v>10365.276592305205</v>
      </c>
      <c r="BQ11" s="129">
        <f t="shared" si="52"/>
        <v>0</v>
      </c>
      <c r="BR11" s="129">
        <f t="shared" si="52"/>
        <v>84315.57116876819</v>
      </c>
      <c r="BS11" s="41">
        <f t="shared" si="9"/>
        <v>0</v>
      </c>
      <c r="BT11" s="129">
        <f t="shared" si="52"/>
        <v>5878334.286178468</v>
      </c>
      <c r="BU11" s="129">
        <f t="shared" si="52"/>
        <v>6698750.594673458</v>
      </c>
      <c r="BV11" s="129">
        <f t="shared" si="52"/>
        <v>0</v>
      </c>
      <c r="BW11" s="129">
        <f t="shared" si="52"/>
        <v>0</v>
      </c>
      <c r="BX11" s="4">
        <f t="shared" si="10"/>
        <v>12577084.880851924</v>
      </c>
      <c r="BY11" s="129">
        <f t="shared" si="52"/>
        <v>12149013.494641123</v>
      </c>
      <c r="BZ11" s="129">
        <f t="shared" si="52"/>
        <v>0</v>
      </c>
      <c r="CA11" s="129">
        <f t="shared" si="52"/>
        <v>428071.3862107986</v>
      </c>
      <c r="CB11" s="4">
        <f t="shared" si="11"/>
        <v>12577084.880851923</v>
      </c>
      <c r="CC11" s="4">
        <f t="shared" si="12"/>
        <v>0</v>
      </c>
      <c r="CD11" s="70">
        <f t="shared" si="13"/>
        <v>375959.1976398319</v>
      </c>
      <c r="CE11" s="72">
        <f t="shared" si="14"/>
        <v>375959.1976398319</v>
      </c>
      <c r="CF11" s="72">
        <f t="shared" si="15"/>
        <v>73950.29457646298</v>
      </c>
      <c r="CG11" s="72">
        <f t="shared" si="35"/>
        <v>7456877.567192047</v>
      </c>
      <c r="CH11" s="72">
        <f t="shared" si="16"/>
        <v>134056.1564581313</v>
      </c>
      <c r="CI11" s="35">
        <f t="shared" si="17"/>
        <v>729471.6175476884</v>
      </c>
      <c r="CJ11" s="57">
        <f t="shared" si="36"/>
        <v>5.083944557531118</v>
      </c>
      <c r="CK11" s="57">
        <f t="shared" si="37"/>
        <v>5.083944557531118</v>
      </c>
      <c r="CL11" s="148">
        <f t="shared" si="38"/>
        <v>0.05041777798443896</v>
      </c>
      <c r="CM11" s="148">
        <f t="shared" si="39"/>
        <v>0.05041777798443896</v>
      </c>
      <c r="CN11" s="148">
        <f t="shared" si="40"/>
        <v>0.0179775187738011</v>
      </c>
      <c r="CO11" s="148">
        <f t="shared" si="41"/>
        <v>0.09782534458620291</v>
      </c>
      <c r="CP11" s="148">
        <f t="shared" si="42"/>
        <v>0.08162899727503846</v>
      </c>
      <c r="CQ11" s="148">
        <f t="shared" si="43"/>
        <v>0.08162899727503846</v>
      </c>
      <c r="CR11" s="149">
        <f t="shared" si="44"/>
        <v>-16.679148290102354</v>
      </c>
      <c r="CS11" s="72">
        <f t="shared" si="45"/>
        <v>-6270679.208462656</v>
      </c>
      <c r="CT11" s="76">
        <f t="shared" si="18"/>
        <v>7195175.10686227</v>
      </c>
      <c r="CU11" s="76">
        <f t="shared" si="19"/>
        <v>7571134.304502102</v>
      </c>
      <c r="CV11" s="76">
        <f t="shared" si="20"/>
        <v>375959.19763983134</v>
      </c>
      <c r="CW11" s="76">
        <f t="shared" si="21"/>
        <v>0</v>
      </c>
      <c r="CX11" s="76">
        <f t="shared" si="22"/>
        <v>375959.19763983134</v>
      </c>
      <c r="CY11" s="76">
        <f t="shared" si="23"/>
        <v>-219456.2634497258</v>
      </c>
      <c r="CZ11" s="76">
        <f t="shared" si="24"/>
        <v>73950.29457646298</v>
      </c>
      <c r="DA11" s="76">
        <f t="shared" si="25"/>
        <v>595415.4610895572</v>
      </c>
      <c r="DB11" s="76">
        <f t="shared" si="26"/>
        <v>302008.90306336834</v>
      </c>
      <c r="DC11" s="76">
        <f t="shared" si="27"/>
        <v>-605780.7376818623</v>
      </c>
      <c r="DD11" s="76">
        <f t="shared" si="28"/>
        <v>-219456.26344972578</v>
      </c>
      <c r="DE11" s="76">
        <f t="shared" si="29"/>
        <v>3795383.857056256</v>
      </c>
      <c r="DF11" s="76">
        <f t="shared" si="30"/>
        <v>-1129.6485693501452</v>
      </c>
      <c r="DG11" s="76">
        <f t="shared" si="31"/>
        <v>24.149911089557072</v>
      </c>
      <c r="DH11" s="76">
        <f t="shared" si="32"/>
        <v>683.7297526673133</v>
      </c>
      <c r="DI11" s="77">
        <f t="shared" si="33"/>
        <v>13.321977044940189</v>
      </c>
      <c r="DJ11" s="72">
        <f t="shared" si="34"/>
        <v>54.406215648237854</v>
      </c>
      <c r="DK11" s="151">
        <f t="shared" si="46"/>
        <v>-6270679.208462659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0">
        <v>630</v>
      </c>
      <c r="C12" s="36">
        <v>1550894</v>
      </c>
      <c r="D12" s="37">
        <v>2461.74</v>
      </c>
      <c r="E12" s="37">
        <v>77.26</v>
      </c>
      <c r="F12" s="124">
        <v>12</v>
      </c>
      <c r="G12" s="130">
        <f>(G43/($B$12+$B$14+$B$23)*$B$12)</f>
        <v>589438.3911404335</v>
      </c>
      <c r="H12" s="130">
        <f aca="true" t="shared" si="53" ref="H12:BU12">(H43/($B$12+$B$14+$B$23)*$B$12)</f>
        <v>124862.88265786994</v>
      </c>
      <c r="I12" s="130">
        <f t="shared" si="53"/>
        <v>38837.06550424128</v>
      </c>
      <c r="J12" s="130">
        <f t="shared" si="53"/>
        <v>0</v>
      </c>
      <c r="K12" s="130">
        <f t="shared" si="53"/>
        <v>108702.10603204525</v>
      </c>
      <c r="L12" s="130">
        <f t="shared" si="53"/>
        <v>0</v>
      </c>
      <c r="M12" s="41">
        <f t="shared" si="0"/>
        <v>108702.10603204525</v>
      </c>
      <c r="N12" s="130">
        <f t="shared" si="53"/>
        <v>0</v>
      </c>
      <c r="O12" s="130">
        <f t="shared" si="53"/>
        <v>166988.53628652217</v>
      </c>
      <c r="P12" s="130">
        <f t="shared" si="53"/>
        <v>0</v>
      </c>
      <c r="Q12" s="130">
        <f t="shared" si="53"/>
        <v>0</v>
      </c>
      <c r="R12" s="130">
        <f t="shared" si="53"/>
        <v>0</v>
      </c>
      <c r="S12" s="130">
        <f t="shared" si="53"/>
        <v>0</v>
      </c>
      <c r="T12" s="130">
        <f t="shared" si="53"/>
        <v>0</v>
      </c>
      <c r="U12" s="130">
        <f t="shared" si="53"/>
        <v>0</v>
      </c>
      <c r="V12" s="130">
        <f t="shared" si="53"/>
        <v>0</v>
      </c>
      <c r="W12" s="41">
        <f t="shared" si="1"/>
        <v>0</v>
      </c>
      <c r="X12" s="130">
        <f t="shared" si="53"/>
        <v>890.6691800188502</v>
      </c>
      <c r="Y12" s="41">
        <f t="shared" si="2"/>
        <v>1029719.6508011309</v>
      </c>
      <c r="Z12" s="130">
        <f t="shared" si="53"/>
        <v>198379.4590009425</v>
      </c>
      <c r="AA12" s="130">
        <f t="shared" si="53"/>
        <v>40463.01178133837</v>
      </c>
      <c r="AB12" s="130">
        <f t="shared" si="53"/>
        <v>0</v>
      </c>
      <c r="AC12" s="130">
        <f t="shared" si="53"/>
        <v>3002.208294062206</v>
      </c>
      <c r="AD12" s="130">
        <f t="shared" si="53"/>
        <v>0</v>
      </c>
      <c r="AE12" s="41">
        <f t="shared" si="3"/>
        <v>241844.67907634308</v>
      </c>
      <c r="AF12" s="130">
        <f t="shared" si="53"/>
        <v>0</v>
      </c>
      <c r="AG12" s="130">
        <f t="shared" si="53"/>
        <v>2122.642789820924</v>
      </c>
      <c r="AH12" s="130">
        <f t="shared" si="53"/>
        <v>0</v>
      </c>
      <c r="AI12" s="130">
        <f t="shared" si="53"/>
        <v>3374.804901036758</v>
      </c>
      <c r="AJ12" s="130">
        <f t="shared" si="53"/>
        <v>265359.6220546654</v>
      </c>
      <c r="AK12" s="130">
        <f t="shared" si="53"/>
        <v>0</v>
      </c>
      <c r="AL12" s="130">
        <f t="shared" si="53"/>
        <v>258523.82516493875</v>
      </c>
      <c r="AM12" s="130">
        <f t="shared" si="53"/>
        <v>0</v>
      </c>
      <c r="AN12" s="130">
        <f t="shared" si="53"/>
        <v>0</v>
      </c>
      <c r="AO12" s="130">
        <f t="shared" si="53"/>
        <v>0</v>
      </c>
      <c r="AP12" s="130">
        <f t="shared" si="53"/>
        <v>0</v>
      </c>
      <c r="AQ12" s="130">
        <f t="shared" si="53"/>
        <v>0</v>
      </c>
      <c r="AR12" s="130">
        <f t="shared" si="53"/>
        <v>0</v>
      </c>
      <c r="AS12" s="4">
        <f t="shared" si="4"/>
        <v>0</v>
      </c>
      <c r="AT12" s="130">
        <f t="shared" si="53"/>
        <v>890.6691800188502</v>
      </c>
      <c r="AU12" s="4">
        <f>SUM(Z12:AT12)-AE12-AH12-AS12</f>
        <v>772116.2431668239</v>
      </c>
      <c r="AV12" s="130">
        <f t="shared" si="53"/>
        <v>0</v>
      </c>
      <c r="AW12" s="130">
        <f t="shared" si="53"/>
        <v>257603.40763430725</v>
      </c>
      <c r="AX12" s="4">
        <f t="shared" si="6"/>
        <v>0</v>
      </c>
      <c r="AY12" s="130">
        <f t="shared" si="53"/>
        <v>0</v>
      </c>
      <c r="AZ12" s="130">
        <f t="shared" si="53"/>
        <v>52524.95852968898</v>
      </c>
      <c r="BA12" s="130">
        <f t="shared" si="53"/>
        <v>0</v>
      </c>
      <c r="BB12" s="130">
        <f t="shared" si="53"/>
        <v>0</v>
      </c>
      <c r="BC12" s="130">
        <f t="shared" si="53"/>
        <v>0</v>
      </c>
      <c r="BD12" s="130">
        <f t="shared" si="53"/>
        <v>0</v>
      </c>
      <c r="BE12" s="130">
        <f t="shared" si="53"/>
        <v>0</v>
      </c>
      <c r="BF12" s="41">
        <f t="shared" si="7"/>
        <v>52524.95852968898</v>
      </c>
      <c r="BG12" s="130">
        <f t="shared" si="53"/>
        <v>0</v>
      </c>
      <c r="BH12" s="130">
        <f t="shared" si="53"/>
        <v>0</v>
      </c>
      <c r="BI12" s="130">
        <f t="shared" si="53"/>
        <v>0</v>
      </c>
      <c r="BJ12" s="130">
        <f t="shared" si="53"/>
        <v>0</v>
      </c>
      <c r="BK12" s="130">
        <f t="shared" si="53"/>
        <v>0</v>
      </c>
      <c r="BL12" s="130">
        <f t="shared" si="53"/>
        <v>19705.164938737038</v>
      </c>
      <c r="BM12" s="130">
        <f t="shared" si="53"/>
        <v>38165.174363807724</v>
      </c>
      <c r="BN12" s="130">
        <f t="shared" si="53"/>
        <v>0</v>
      </c>
      <c r="BO12" s="41">
        <f t="shared" si="8"/>
        <v>57870.33930254476</v>
      </c>
      <c r="BP12" s="130">
        <f t="shared" si="53"/>
        <v>57870.33930254477</v>
      </c>
      <c r="BQ12" s="130">
        <f t="shared" si="53"/>
        <v>0</v>
      </c>
      <c r="BR12" s="130">
        <f t="shared" si="53"/>
        <v>52524.95852968898</v>
      </c>
      <c r="BS12" s="41">
        <f t="shared" si="9"/>
        <v>0</v>
      </c>
      <c r="BT12" s="130">
        <f t="shared" si="53"/>
        <v>603712.8907634307</v>
      </c>
      <c r="BU12" s="130">
        <f t="shared" si="53"/>
        <v>640749.7832233742</v>
      </c>
      <c r="BV12" s="130">
        <f aca="true" t="shared" si="54" ref="BV12:CA12">(BV43/($B$12+$B$14+$B$23)*$B$12)</f>
        <v>0</v>
      </c>
      <c r="BW12" s="130">
        <f t="shared" si="54"/>
        <v>138064.44062205465</v>
      </c>
      <c r="BX12" s="4">
        <f t="shared" si="10"/>
        <v>1382527.1146088596</v>
      </c>
      <c r="BY12" s="130">
        <f t="shared" si="54"/>
        <v>1382527.1146088596</v>
      </c>
      <c r="BZ12" s="130">
        <f t="shared" si="54"/>
        <v>0</v>
      </c>
      <c r="CA12" s="130">
        <f t="shared" si="54"/>
        <v>0</v>
      </c>
      <c r="CB12" s="4">
        <f t="shared" si="11"/>
        <v>1382527.1146088596</v>
      </c>
      <c r="CC12" s="4">
        <f t="shared" si="12"/>
        <v>0</v>
      </c>
      <c r="CD12" s="70">
        <f t="shared" si="13"/>
        <v>-148901.301602262</v>
      </c>
      <c r="CE12" s="72">
        <f t="shared" si="14"/>
        <v>-148901.301602262</v>
      </c>
      <c r="CF12" s="72">
        <f t="shared" si="15"/>
        <v>-5345.380772855795</v>
      </c>
      <c r="CG12" s="72">
        <f t="shared" si="35"/>
        <v>771225.573986805</v>
      </c>
      <c r="CH12" s="72">
        <f>I12-AG12+AY12+AH12+BQ12</f>
        <v>36714.42271442036</v>
      </c>
      <c r="CI12" s="35">
        <f t="shared" si="17"/>
        <v>145416.52874646563</v>
      </c>
      <c r="CJ12" s="57">
        <f t="shared" si="36"/>
        <v>27.85607011541496</v>
      </c>
      <c r="CK12" s="57">
        <f t="shared" si="37"/>
        <v>27.85607011541496</v>
      </c>
      <c r="CL12" s="148">
        <f t="shared" si="38"/>
        <v>-0.1930710114195585</v>
      </c>
      <c r="CM12" s="148">
        <f t="shared" si="39"/>
        <v>-0.1930710114195585</v>
      </c>
      <c r="CN12" s="148">
        <f t="shared" si="40"/>
        <v>0.047605297273309186</v>
      </c>
      <c r="CO12" s="148">
        <f t="shared" si="41"/>
        <v>0.1885525242566108</v>
      </c>
      <c r="CP12" s="148">
        <f t="shared" si="42"/>
        <v>0.14504214025004436</v>
      </c>
      <c r="CQ12" s="148">
        <f t="shared" si="43"/>
        <v>0.14504214025004436</v>
      </c>
      <c r="CR12" s="149">
        <f t="shared" si="44"/>
        <v>5.230405748404805</v>
      </c>
      <c r="CS12" s="72">
        <f t="shared" si="45"/>
        <v>-778814.2238454289</v>
      </c>
      <c r="CT12" s="76">
        <f t="shared" si="18"/>
        <v>921017.5447690857</v>
      </c>
      <c r="CU12" s="76">
        <f t="shared" si="19"/>
        <v>772116.2431668239</v>
      </c>
      <c r="CV12" s="76">
        <f t="shared" si="20"/>
        <v>-148901.30160226184</v>
      </c>
      <c r="CW12" s="76">
        <f t="shared" si="21"/>
        <v>0</v>
      </c>
      <c r="CX12" s="76">
        <f t="shared" si="22"/>
        <v>-148901.30160226184</v>
      </c>
      <c r="CY12" s="76">
        <f t="shared" si="23"/>
        <v>-257603.4076343071</v>
      </c>
      <c r="CZ12" s="76">
        <f t="shared" si="24"/>
        <v>-5345.380772855795</v>
      </c>
      <c r="DA12" s="76">
        <f t="shared" si="25"/>
        <v>108702.10603204525</v>
      </c>
      <c r="DB12" s="76">
        <f t="shared" si="26"/>
        <v>-143555.92082940607</v>
      </c>
      <c r="DC12" s="76">
        <f t="shared" si="27"/>
        <v>-166572.44533459004</v>
      </c>
      <c r="DD12" s="76">
        <f t="shared" si="28"/>
        <v>-257603.40763430714</v>
      </c>
      <c r="DE12" s="76">
        <f t="shared" si="29"/>
        <v>238842.47078228087</v>
      </c>
      <c r="DF12" s="76">
        <f t="shared" si="30"/>
        <v>-1236.213053722903</v>
      </c>
      <c r="DG12" s="76">
        <f t="shared" si="31"/>
        <v>58.27686145146089</v>
      </c>
      <c r="DH12" s="76">
        <f t="shared" si="32"/>
        <v>379.11503298774744</v>
      </c>
      <c r="DI12" s="77">
        <f t="shared" si="33"/>
        <v>-8.48473138548539</v>
      </c>
      <c r="DJ12" s="72">
        <f t="shared" si="34"/>
        <v>-227.86654099905724</v>
      </c>
      <c r="DK12" s="151">
        <f t="shared" si="46"/>
        <v>-778814.2238454288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41">
        <v>345</v>
      </c>
      <c r="C13" s="4">
        <v>661518</v>
      </c>
      <c r="D13" s="32">
        <v>1917.44</v>
      </c>
      <c r="E13" s="32">
        <v>60.17</v>
      </c>
      <c r="F13" s="8">
        <v>10</v>
      </c>
      <c r="G13" s="129">
        <f>(G44/($B$13+$B$16)*$B$13)</f>
        <v>237767.33564567773</v>
      </c>
      <c r="H13" s="129">
        <f aca="true" t="shared" si="55" ref="H13:BU13">(H44/($B$13+$B$16)*$B$13)</f>
        <v>40594.80976520811</v>
      </c>
      <c r="I13" s="129">
        <f t="shared" si="55"/>
        <v>2026.0189434364995</v>
      </c>
      <c r="J13" s="129">
        <f t="shared" si="55"/>
        <v>0</v>
      </c>
      <c r="K13" s="129">
        <f t="shared" si="55"/>
        <v>198706.3767342583</v>
      </c>
      <c r="L13" s="129">
        <f t="shared" si="55"/>
        <v>0</v>
      </c>
      <c r="M13" s="41">
        <f t="shared" si="0"/>
        <v>198706.3767342583</v>
      </c>
      <c r="N13" s="129">
        <f t="shared" si="55"/>
        <v>0</v>
      </c>
      <c r="O13" s="129">
        <f t="shared" si="55"/>
        <v>149797.6560832444</v>
      </c>
      <c r="P13" s="129">
        <f t="shared" si="55"/>
        <v>7998.679562433298</v>
      </c>
      <c r="Q13" s="129">
        <f t="shared" si="55"/>
        <v>0</v>
      </c>
      <c r="R13" s="129">
        <f t="shared" si="55"/>
        <v>0</v>
      </c>
      <c r="S13" s="129">
        <f t="shared" si="55"/>
        <v>0</v>
      </c>
      <c r="T13" s="129">
        <f t="shared" si="55"/>
        <v>0</v>
      </c>
      <c r="U13" s="129">
        <f t="shared" si="55"/>
        <v>0</v>
      </c>
      <c r="V13" s="129">
        <f t="shared" si="55"/>
        <v>0</v>
      </c>
      <c r="W13" s="41">
        <f t="shared" si="1"/>
        <v>0</v>
      </c>
      <c r="X13" s="129">
        <f t="shared" si="55"/>
        <v>0</v>
      </c>
      <c r="Y13" s="41">
        <f t="shared" si="2"/>
        <v>636890.8767342583</v>
      </c>
      <c r="Z13" s="129">
        <f t="shared" si="55"/>
        <v>82383.38580576307</v>
      </c>
      <c r="AA13" s="129">
        <f t="shared" si="55"/>
        <v>0</v>
      </c>
      <c r="AB13" s="129">
        <f t="shared" si="55"/>
        <v>0</v>
      </c>
      <c r="AC13" s="129">
        <f t="shared" si="55"/>
        <v>1731.2593383137676</v>
      </c>
      <c r="AD13" s="129">
        <f t="shared" si="55"/>
        <v>0</v>
      </c>
      <c r="AE13" s="41">
        <f t="shared" si="3"/>
        <v>84114.64514407684</v>
      </c>
      <c r="AF13" s="129">
        <f t="shared" si="55"/>
        <v>0</v>
      </c>
      <c r="AG13" s="129">
        <f t="shared" si="55"/>
        <v>73.32630736392743</v>
      </c>
      <c r="AH13" s="129">
        <f t="shared" si="55"/>
        <v>0</v>
      </c>
      <c r="AI13" s="129">
        <f t="shared" si="55"/>
        <v>11674.844183564568</v>
      </c>
      <c r="AJ13" s="129">
        <f t="shared" si="55"/>
        <v>283998.5691035219</v>
      </c>
      <c r="AK13" s="129">
        <f t="shared" si="55"/>
        <v>147.2785485592316</v>
      </c>
      <c r="AL13" s="129">
        <f t="shared" si="55"/>
        <v>94662.49546424761</v>
      </c>
      <c r="AM13" s="129">
        <f t="shared" si="55"/>
        <v>0</v>
      </c>
      <c r="AN13" s="129">
        <f t="shared" si="55"/>
        <v>0</v>
      </c>
      <c r="AO13" s="129">
        <f t="shared" si="55"/>
        <v>0</v>
      </c>
      <c r="AP13" s="129">
        <f t="shared" si="55"/>
        <v>0</v>
      </c>
      <c r="AQ13" s="129">
        <f t="shared" si="55"/>
        <v>0</v>
      </c>
      <c r="AR13" s="129">
        <f t="shared" si="55"/>
        <v>0</v>
      </c>
      <c r="AS13" s="4">
        <f t="shared" si="4"/>
        <v>0</v>
      </c>
      <c r="AT13" s="129">
        <f t="shared" si="55"/>
        <v>0</v>
      </c>
      <c r="AU13" s="4">
        <f>SUM(Z13:AT13)-AE13-AH13-AS13</f>
        <v>474671.158751334</v>
      </c>
      <c r="AV13" s="129">
        <f t="shared" si="55"/>
        <v>0</v>
      </c>
      <c r="AW13" s="129">
        <f t="shared" si="55"/>
        <v>162219.71798292422</v>
      </c>
      <c r="AX13" s="4">
        <f t="shared" si="6"/>
        <v>0</v>
      </c>
      <c r="AY13" s="129">
        <f t="shared" si="55"/>
        <v>0</v>
      </c>
      <c r="AZ13" s="129">
        <f t="shared" si="55"/>
        <v>0</v>
      </c>
      <c r="BA13" s="129">
        <f t="shared" si="55"/>
        <v>0</v>
      </c>
      <c r="BB13" s="129">
        <f t="shared" si="55"/>
        <v>0</v>
      </c>
      <c r="BC13" s="129">
        <f t="shared" si="55"/>
        <v>0</v>
      </c>
      <c r="BD13" s="129">
        <f t="shared" si="55"/>
        <v>0</v>
      </c>
      <c r="BE13" s="129">
        <f t="shared" si="55"/>
        <v>0</v>
      </c>
      <c r="BF13" s="41">
        <f t="shared" si="7"/>
        <v>0</v>
      </c>
      <c r="BG13" s="129">
        <f t="shared" si="55"/>
        <v>0</v>
      </c>
      <c r="BH13" s="129">
        <f t="shared" si="55"/>
        <v>0</v>
      </c>
      <c r="BI13" s="129">
        <f t="shared" si="55"/>
        <v>0</v>
      </c>
      <c r="BJ13" s="129">
        <f t="shared" si="55"/>
        <v>0</v>
      </c>
      <c r="BK13" s="129">
        <f t="shared" si="55"/>
        <v>0</v>
      </c>
      <c r="BL13" s="129">
        <f t="shared" si="55"/>
        <v>0</v>
      </c>
      <c r="BM13" s="129">
        <f t="shared" si="55"/>
        <v>0</v>
      </c>
      <c r="BN13" s="129">
        <f t="shared" si="55"/>
        <v>0</v>
      </c>
      <c r="BO13" s="41">
        <f t="shared" si="8"/>
        <v>0</v>
      </c>
      <c r="BP13" s="129">
        <f t="shared" si="55"/>
        <v>0</v>
      </c>
      <c r="BQ13" s="129">
        <f t="shared" si="55"/>
        <v>0</v>
      </c>
      <c r="BR13" s="129">
        <f t="shared" si="55"/>
        <v>0</v>
      </c>
      <c r="BS13" s="41">
        <f t="shared" si="9"/>
        <v>0</v>
      </c>
      <c r="BT13" s="129">
        <f t="shared" si="55"/>
        <v>47901.07764140875</v>
      </c>
      <c r="BU13" s="129">
        <f t="shared" si="55"/>
        <v>584346.2537353255</v>
      </c>
      <c r="BV13" s="129">
        <f aca="true" t="shared" si="56" ref="BV13:CA13">(BV44/($B$13+$B$16)*$B$13)</f>
        <v>0</v>
      </c>
      <c r="BW13" s="129">
        <f t="shared" si="56"/>
        <v>162219.71798292422</v>
      </c>
      <c r="BX13" s="4">
        <f t="shared" si="10"/>
        <v>794467.0493596585</v>
      </c>
      <c r="BY13" s="129">
        <f t="shared" si="56"/>
        <v>728301.0752401281</v>
      </c>
      <c r="BZ13" s="129">
        <f t="shared" si="56"/>
        <v>0</v>
      </c>
      <c r="CA13" s="129">
        <f t="shared" si="56"/>
        <v>66165.97411953042</v>
      </c>
      <c r="CB13" s="4">
        <f t="shared" si="11"/>
        <v>794467.0493596585</v>
      </c>
      <c r="CC13" s="4">
        <f t="shared" si="12"/>
        <v>0</v>
      </c>
      <c r="CD13" s="70">
        <f t="shared" si="13"/>
        <v>36486.658751334064</v>
      </c>
      <c r="CE13" s="72">
        <f t="shared" si="14"/>
        <v>36486.658751334064</v>
      </c>
      <c r="CF13" s="72">
        <f t="shared" si="15"/>
        <v>0</v>
      </c>
      <c r="CG13" s="72">
        <f t="shared" si="35"/>
        <v>474671.158751334</v>
      </c>
      <c r="CH13" s="72">
        <f>I13-AG13+AY13+AH13+BQ13</f>
        <v>1952.692636072572</v>
      </c>
      <c r="CI13" s="35">
        <f t="shared" si="17"/>
        <v>200659.06937033086</v>
      </c>
      <c r="CJ13" s="57" t="str">
        <f t="shared" si="36"/>
        <v>-</v>
      </c>
      <c r="CK13" s="57" t="str">
        <f t="shared" si="37"/>
        <v>-</v>
      </c>
      <c r="CL13" s="148">
        <f t="shared" si="38"/>
        <v>0.07686723340705082</v>
      </c>
      <c r="CM13" s="148">
        <f t="shared" si="39"/>
        <v>0.07686723340705082</v>
      </c>
      <c r="CN13" s="148">
        <f t="shared" si="40"/>
        <v>0.00411377982435105</v>
      </c>
      <c r="CO13" s="148">
        <f t="shared" si="41"/>
        <v>0.4227328028485719</v>
      </c>
      <c r="CP13" s="148">
        <f t="shared" si="42"/>
        <v>0.253758647889475</v>
      </c>
      <c r="CQ13" s="148">
        <f t="shared" si="43"/>
        <v>0.253758647889475</v>
      </c>
      <c r="CR13" s="149">
        <f t="shared" si="44"/>
        <v>-18.64791189118795</v>
      </c>
      <c r="CS13" s="72">
        <f t="shared" si="45"/>
        <v>-680399.9975987193</v>
      </c>
      <c r="CT13" s="76">
        <f t="shared" si="18"/>
        <v>438184.5</v>
      </c>
      <c r="CU13" s="76">
        <f t="shared" si="19"/>
        <v>474671.158751334</v>
      </c>
      <c r="CV13" s="76">
        <f t="shared" si="20"/>
        <v>36486.658751334006</v>
      </c>
      <c r="CW13" s="76">
        <f t="shared" si="21"/>
        <v>0</v>
      </c>
      <c r="CX13" s="76">
        <f t="shared" si="22"/>
        <v>36486.658751334006</v>
      </c>
      <c r="CY13" s="76">
        <f t="shared" si="23"/>
        <v>-162219.71798292428</v>
      </c>
      <c r="CZ13" s="76">
        <f t="shared" si="24"/>
        <v>0</v>
      </c>
      <c r="DA13" s="76">
        <f t="shared" si="25"/>
        <v>198706.3767342583</v>
      </c>
      <c r="DB13" s="76">
        <f t="shared" si="26"/>
        <v>36486.658751334006</v>
      </c>
      <c r="DC13" s="76">
        <f t="shared" si="27"/>
        <v>-198706.3767342583</v>
      </c>
      <c r="DD13" s="76">
        <f t="shared" si="28"/>
        <v>-162219.71798292428</v>
      </c>
      <c r="DE13" s="76">
        <f t="shared" si="29"/>
        <v>82383.38580576307</v>
      </c>
      <c r="DF13" s="76">
        <f t="shared" si="30"/>
        <v>-1972.1739060832444</v>
      </c>
      <c r="DG13" s="76">
        <f t="shared" si="31"/>
        <v>5.659978655282817</v>
      </c>
      <c r="DH13" s="76">
        <f t="shared" si="32"/>
        <v>238.7924226254002</v>
      </c>
      <c r="DI13" s="77">
        <f t="shared" si="33"/>
        <v>0</v>
      </c>
      <c r="DJ13" s="72">
        <f t="shared" si="34"/>
        <v>105.75843116328697</v>
      </c>
      <c r="DK13" s="151">
        <f t="shared" si="46"/>
        <v>-680399.9975987193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0">
        <v>185</v>
      </c>
      <c r="C14" s="36">
        <v>444529</v>
      </c>
      <c r="D14" s="37">
        <v>2402.86</v>
      </c>
      <c r="E14" s="37">
        <v>75.41</v>
      </c>
      <c r="F14" s="124">
        <v>12</v>
      </c>
      <c r="G14" s="130">
        <f>(G43/($B$12+$B$14+$B$23)*$B$14)</f>
        <v>173089.05136663525</v>
      </c>
      <c r="H14" s="130">
        <f aca="true" t="shared" si="57" ref="H14:BU14">(H43/($B$12+$B$14+$B$23)*$B$14)</f>
        <v>36666.08459000943</v>
      </c>
      <c r="I14" s="130">
        <f t="shared" si="57"/>
        <v>11404.535108388314</v>
      </c>
      <c r="J14" s="130">
        <f t="shared" si="57"/>
        <v>0</v>
      </c>
      <c r="K14" s="130">
        <f t="shared" si="57"/>
        <v>31920.45970782281</v>
      </c>
      <c r="L14" s="130">
        <f t="shared" si="57"/>
        <v>0</v>
      </c>
      <c r="M14" s="41">
        <f t="shared" si="0"/>
        <v>31920.45970782281</v>
      </c>
      <c r="N14" s="130">
        <f t="shared" si="57"/>
        <v>0</v>
      </c>
      <c r="O14" s="130">
        <f t="shared" si="57"/>
        <v>49036.31621112159</v>
      </c>
      <c r="P14" s="130">
        <f t="shared" si="57"/>
        <v>0</v>
      </c>
      <c r="Q14" s="130">
        <f t="shared" si="57"/>
        <v>0</v>
      </c>
      <c r="R14" s="130">
        <f t="shared" si="57"/>
        <v>0</v>
      </c>
      <c r="S14" s="130">
        <f t="shared" si="57"/>
        <v>0</v>
      </c>
      <c r="T14" s="130">
        <f t="shared" si="57"/>
        <v>0</v>
      </c>
      <c r="U14" s="130">
        <f t="shared" si="57"/>
        <v>0</v>
      </c>
      <c r="V14" s="130">
        <f t="shared" si="57"/>
        <v>0</v>
      </c>
      <c r="W14" s="41">
        <f t="shared" si="1"/>
        <v>0</v>
      </c>
      <c r="X14" s="130">
        <f t="shared" si="57"/>
        <v>261.54571159283694</v>
      </c>
      <c r="Y14" s="41">
        <f t="shared" si="2"/>
        <v>302377.9926955702</v>
      </c>
      <c r="Z14" s="130">
        <f t="shared" si="57"/>
        <v>58254.28557964185</v>
      </c>
      <c r="AA14" s="130">
        <f t="shared" si="57"/>
        <v>11881.995523091426</v>
      </c>
      <c r="AB14" s="130">
        <f t="shared" si="57"/>
        <v>0</v>
      </c>
      <c r="AC14" s="130">
        <f t="shared" si="57"/>
        <v>881.6008482563619</v>
      </c>
      <c r="AD14" s="130">
        <f t="shared" si="57"/>
        <v>0</v>
      </c>
      <c r="AE14" s="41">
        <f t="shared" si="3"/>
        <v>71017.88195098964</v>
      </c>
      <c r="AF14" s="130">
        <f t="shared" si="57"/>
        <v>0</v>
      </c>
      <c r="AG14" s="130">
        <f t="shared" si="57"/>
        <v>623.315739868049</v>
      </c>
      <c r="AH14" s="130">
        <f t="shared" si="57"/>
        <v>0</v>
      </c>
      <c r="AI14" s="130">
        <f t="shared" si="57"/>
        <v>991.0141376060321</v>
      </c>
      <c r="AJ14" s="130">
        <f t="shared" si="57"/>
        <v>77923.06361922715</v>
      </c>
      <c r="AK14" s="130">
        <f t="shared" si="57"/>
        <v>0</v>
      </c>
      <c r="AL14" s="130">
        <f t="shared" si="57"/>
        <v>75915.72643732328</v>
      </c>
      <c r="AM14" s="130">
        <f t="shared" si="57"/>
        <v>0</v>
      </c>
      <c r="AN14" s="130">
        <f t="shared" si="57"/>
        <v>0</v>
      </c>
      <c r="AO14" s="130">
        <f t="shared" si="57"/>
        <v>0</v>
      </c>
      <c r="AP14" s="130">
        <f t="shared" si="57"/>
        <v>0</v>
      </c>
      <c r="AQ14" s="130">
        <f t="shared" si="57"/>
        <v>0</v>
      </c>
      <c r="AR14" s="130">
        <f t="shared" si="57"/>
        <v>0</v>
      </c>
      <c r="AS14" s="4">
        <f t="shared" si="4"/>
        <v>0</v>
      </c>
      <c r="AT14" s="130">
        <f t="shared" si="57"/>
        <v>261.54571159283694</v>
      </c>
      <c r="AU14" s="4">
        <f t="shared" si="5"/>
        <v>226732.54759660695</v>
      </c>
      <c r="AV14" s="130">
        <f t="shared" si="57"/>
        <v>0</v>
      </c>
      <c r="AW14" s="130">
        <f t="shared" si="57"/>
        <v>75645.44509896325</v>
      </c>
      <c r="AX14" s="4">
        <f t="shared" si="6"/>
        <v>0</v>
      </c>
      <c r="AY14" s="130">
        <f t="shared" si="57"/>
        <v>0</v>
      </c>
      <c r="AZ14" s="130">
        <f t="shared" si="57"/>
        <v>15423.99575871819</v>
      </c>
      <c r="BA14" s="130">
        <f t="shared" si="57"/>
        <v>0</v>
      </c>
      <c r="BB14" s="130">
        <f t="shared" si="57"/>
        <v>0</v>
      </c>
      <c r="BC14" s="130">
        <f t="shared" si="57"/>
        <v>0</v>
      </c>
      <c r="BD14" s="130">
        <f t="shared" si="57"/>
        <v>0</v>
      </c>
      <c r="BE14" s="130">
        <f t="shared" si="57"/>
        <v>0</v>
      </c>
      <c r="BF14" s="41">
        <f t="shared" si="7"/>
        <v>15423.99575871819</v>
      </c>
      <c r="BG14" s="130">
        <f t="shared" si="57"/>
        <v>0</v>
      </c>
      <c r="BH14" s="130">
        <f t="shared" si="57"/>
        <v>0</v>
      </c>
      <c r="BI14" s="130">
        <f t="shared" si="57"/>
        <v>0</v>
      </c>
      <c r="BJ14" s="130">
        <f t="shared" si="57"/>
        <v>0</v>
      </c>
      <c r="BK14" s="130">
        <f t="shared" si="57"/>
        <v>0</v>
      </c>
      <c r="BL14" s="130">
        <f t="shared" si="57"/>
        <v>5786.437323279924</v>
      </c>
      <c r="BM14" s="130">
        <f t="shared" si="57"/>
        <v>11207.233741753063</v>
      </c>
      <c r="BN14" s="130">
        <f t="shared" si="57"/>
        <v>0</v>
      </c>
      <c r="BO14" s="41">
        <f t="shared" si="8"/>
        <v>16993.671065032988</v>
      </c>
      <c r="BP14" s="130">
        <f t="shared" si="57"/>
        <v>16993.671065032988</v>
      </c>
      <c r="BQ14" s="130">
        <f t="shared" si="57"/>
        <v>0</v>
      </c>
      <c r="BR14" s="130">
        <f t="shared" si="57"/>
        <v>15423.99575871819</v>
      </c>
      <c r="BS14" s="41">
        <f t="shared" si="9"/>
        <v>0</v>
      </c>
      <c r="BT14" s="130">
        <f t="shared" si="57"/>
        <v>177280.76950989634</v>
      </c>
      <c r="BU14" s="130">
        <f t="shared" si="57"/>
        <v>188156.68237511782</v>
      </c>
      <c r="BV14" s="130">
        <f aca="true" t="shared" si="58" ref="BV14:CA14">(BV43/($B$12+$B$14+$B$23)*$B$14)</f>
        <v>0</v>
      </c>
      <c r="BW14" s="130">
        <f t="shared" si="58"/>
        <v>40542.732563619225</v>
      </c>
      <c r="BX14" s="4">
        <f t="shared" si="10"/>
        <v>405980.1844486334</v>
      </c>
      <c r="BY14" s="130">
        <f t="shared" si="58"/>
        <v>405980.1844486334</v>
      </c>
      <c r="BZ14" s="130">
        <f t="shared" si="58"/>
        <v>0</v>
      </c>
      <c r="CA14" s="130">
        <f t="shared" si="58"/>
        <v>0</v>
      </c>
      <c r="CB14" s="4">
        <f t="shared" si="11"/>
        <v>405980.1844486334</v>
      </c>
      <c r="CC14" s="4">
        <f t="shared" si="12"/>
        <v>0</v>
      </c>
      <c r="CD14" s="70">
        <f t="shared" si="13"/>
        <v>-43724.985391140435</v>
      </c>
      <c r="CE14" s="72">
        <f t="shared" si="14"/>
        <v>-43724.985391140435</v>
      </c>
      <c r="CF14" s="72">
        <f t="shared" si="15"/>
        <v>-1569.6753063147971</v>
      </c>
      <c r="CG14" s="72">
        <f t="shared" si="35"/>
        <v>226471.00188501412</v>
      </c>
      <c r="CH14" s="72">
        <f t="shared" si="16"/>
        <v>10781.219368520266</v>
      </c>
      <c r="CI14" s="35">
        <f t="shared" si="17"/>
        <v>42701.679076343076</v>
      </c>
      <c r="CJ14" s="57">
        <f t="shared" si="36"/>
        <v>27.856070115414955</v>
      </c>
      <c r="CK14" s="57">
        <f t="shared" si="37"/>
        <v>27.856070115414955</v>
      </c>
      <c r="CL14" s="148">
        <f t="shared" si="38"/>
        <v>-0.1930710114195586</v>
      </c>
      <c r="CM14" s="148">
        <f t="shared" si="39"/>
        <v>-0.1930710114195586</v>
      </c>
      <c r="CN14" s="148">
        <f t="shared" si="40"/>
        <v>0.0476052972733092</v>
      </c>
      <c r="CO14" s="148">
        <f t="shared" si="41"/>
        <v>0.18855252425661082</v>
      </c>
      <c r="CP14" s="148">
        <f t="shared" si="42"/>
        <v>0.14504214025004436</v>
      </c>
      <c r="CQ14" s="148">
        <f t="shared" si="43"/>
        <v>0.14504214025004436</v>
      </c>
      <c r="CR14" s="149">
        <f t="shared" si="44"/>
        <v>5.230405748404805</v>
      </c>
      <c r="CS14" s="72">
        <f t="shared" si="45"/>
        <v>-228699.41493873706</v>
      </c>
      <c r="CT14" s="76">
        <f t="shared" si="18"/>
        <v>270457.5329877474</v>
      </c>
      <c r="CU14" s="76">
        <f t="shared" si="19"/>
        <v>226732.54759660695</v>
      </c>
      <c r="CV14" s="76">
        <f t="shared" si="20"/>
        <v>-43724.98539114045</v>
      </c>
      <c r="CW14" s="76">
        <f t="shared" si="21"/>
        <v>0</v>
      </c>
      <c r="CX14" s="76">
        <f t="shared" si="22"/>
        <v>-43724.98539114045</v>
      </c>
      <c r="CY14" s="76">
        <f t="shared" si="23"/>
        <v>-75645.44509896326</v>
      </c>
      <c r="CZ14" s="76">
        <f t="shared" si="24"/>
        <v>-1569.6753063147971</v>
      </c>
      <c r="DA14" s="76">
        <f t="shared" si="25"/>
        <v>31920.45970782281</v>
      </c>
      <c r="DB14" s="76">
        <f t="shared" si="26"/>
        <v>-42155.31008482565</v>
      </c>
      <c r="DC14" s="76">
        <f t="shared" si="27"/>
        <v>-48914.1307728558</v>
      </c>
      <c r="DD14" s="76">
        <f t="shared" si="28"/>
        <v>-75645.44509896326</v>
      </c>
      <c r="DE14" s="76">
        <f t="shared" si="29"/>
        <v>70136.28110273328</v>
      </c>
      <c r="DF14" s="76">
        <f t="shared" si="30"/>
        <v>-1236.213053722903</v>
      </c>
      <c r="DG14" s="76">
        <f t="shared" si="31"/>
        <v>58.276861451460896</v>
      </c>
      <c r="DH14" s="76">
        <f t="shared" si="32"/>
        <v>379.11503298774744</v>
      </c>
      <c r="DI14" s="77">
        <f t="shared" si="33"/>
        <v>-8.48473138548539</v>
      </c>
      <c r="DJ14" s="72">
        <f t="shared" si="34"/>
        <v>-227.86654099905758</v>
      </c>
      <c r="DK14" s="151">
        <f t="shared" si="46"/>
        <v>-228699.41493873706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41">
        <v>1175</v>
      </c>
      <c r="C15" s="4">
        <v>3092391</v>
      </c>
      <c r="D15" s="32">
        <v>2631.82</v>
      </c>
      <c r="E15" s="32">
        <v>82.59</v>
      </c>
      <c r="F15" s="8">
        <v>10</v>
      </c>
      <c r="G15" s="129">
        <v>1680947.55</v>
      </c>
      <c r="H15" s="41">
        <v>313401.1</v>
      </c>
      <c r="I15" s="41">
        <v>5120.6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310080.05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f>SUM(R15:V15)</f>
        <v>0</v>
      </c>
      <c r="X15" s="41">
        <v>378546.7</v>
      </c>
      <c r="Y15" s="41">
        <f>SUM(G15:X15)-M15-W15</f>
        <v>2688096</v>
      </c>
      <c r="Z15" s="41">
        <v>364244.15</v>
      </c>
      <c r="AA15" s="41">
        <v>64119.35</v>
      </c>
      <c r="AB15" s="41">
        <v>0</v>
      </c>
      <c r="AC15" s="41">
        <v>5730.6</v>
      </c>
      <c r="AD15" s="41">
        <v>0</v>
      </c>
      <c r="AE15" s="41">
        <f>SUM(Z15:AD15)</f>
        <v>434094.1</v>
      </c>
      <c r="AF15" s="41">
        <v>0</v>
      </c>
      <c r="AG15" s="41">
        <v>9319.5</v>
      </c>
      <c r="AH15" s="41">
        <v>0</v>
      </c>
      <c r="AI15" s="41">
        <v>66135.55</v>
      </c>
      <c r="AJ15" s="41">
        <v>621964.3</v>
      </c>
      <c r="AK15" s="41">
        <v>373603.05</v>
      </c>
      <c r="AL15" s="41">
        <v>748657.3</v>
      </c>
      <c r="AM15" s="41">
        <v>0</v>
      </c>
      <c r="AN15" s="4">
        <v>0</v>
      </c>
      <c r="AO15" s="4">
        <v>0</v>
      </c>
      <c r="AP15" s="4">
        <v>0</v>
      </c>
      <c r="AQ15" s="4">
        <v>4500</v>
      </c>
      <c r="AR15" s="4">
        <v>0</v>
      </c>
      <c r="AS15" s="4">
        <f>SUM(AN15:AR15)</f>
        <v>4500</v>
      </c>
      <c r="AT15" s="4">
        <v>378546.7</v>
      </c>
      <c r="AU15" s="4">
        <f>SUM(Z15:AT15)-AE15-AH15-AS15</f>
        <v>2636820.5000000005</v>
      </c>
      <c r="AV15" s="4">
        <v>0</v>
      </c>
      <c r="AW15" s="4">
        <v>51275.5</v>
      </c>
      <c r="AX15" s="4">
        <f>Y15-AU15+AV15-AW15</f>
        <v>-4.656612873077393E-10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900175.85</v>
      </c>
      <c r="BU15" s="4">
        <v>150006</v>
      </c>
      <c r="BV15" s="4">
        <v>0</v>
      </c>
      <c r="BW15" s="4">
        <v>13814.7</v>
      </c>
      <c r="BX15" s="4">
        <f>SUM(BT15:BW15)</f>
        <v>1063996.55</v>
      </c>
      <c r="BY15" s="4">
        <v>863996.55</v>
      </c>
      <c r="BZ15" s="4">
        <v>200000</v>
      </c>
      <c r="CA15" s="4">
        <v>0</v>
      </c>
      <c r="CB15" s="4">
        <f>SUM(BY15:CA15)</f>
        <v>1063996.55</v>
      </c>
      <c r="CC15" s="4">
        <f>BX15-CB15</f>
        <v>0</v>
      </c>
      <c r="CD15" s="70">
        <f>K15+L15+AV15-AW15</f>
        <v>-51275.5</v>
      </c>
      <c r="CE15" s="72">
        <f>CD15+W15-AS15</f>
        <v>-55775.5</v>
      </c>
      <c r="CF15" s="72">
        <f>BR15-BP15</f>
        <v>0</v>
      </c>
      <c r="CG15" s="72">
        <f t="shared" si="35"/>
        <v>2253773.8000000003</v>
      </c>
      <c r="CH15" s="72">
        <f>I15-AG15+AY15+AH15+BQ15</f>
        <v>-4198.9</v>
      </c>
      <c r="CI15" s="35">
        <f>CH15+K15</f>
        <v>-4198.9</v>
      </c>
      <c r="CJ15" s="57" t="str">
        <f t="shared" si="36"/>
        <v>-</v>
      </c>
      <c r="CK15" s="57" t="str">
        <f t="shared" si="37"/>
        <v>-</v>
      </c>
      <c r="CL15" s="148">
        <f t="shared" si="38"/>
        <v>-0.022750952202922933</v>
      </c>
      <c r="CM15" s="148">
        <f t="shared" si="39"/>
        <v>-0.024747603330911024</v>
      </c>
      <c r="CN15" s="148">
        <f t="shared" si="40"/>
        <v>-0.0018630529825131516</v>
      </c>
      <c r="CO15" s="148">
        <f t="shared" si="41"/>
        <v>-0.0018630529825131516</v>
      </c>
      <c r="CP15" s="148">
        <f t="shared" si="42"/>
        <v>0</v>
      </c>
      <c r="CQ15" s="148">
        <f t="shared" si="43"/>
        <v>0</v>
      </c>
      <c r="CR15" s="149">
        <f t="shared" si="44"/>
        <v>-0.6486593576032474</v>
      </c>
      <c r="CS15" s="72">
        <f t="shared" si="45"/>
        <v>36179.29999999993</v>
      </c>
      <c r="CT15" s="76">
        <f>Y15-K15-L15-V15</f>
        <v>2688096</v>
      </c>
      <c r="CU15" s="76">
        <f>AU15-AR15</f>
        <v>2636820.5000000005</v>
      </c>
      <c r="CV15" s="76">
        <f>CU15-CT15</f>
        <v>-51275.499999999534</v>
      </c>
      <c r="CW15" s="76">
        <f>-V15+AR15</f>
        <v>0</v>
      </c>
      <c r="CX15" s="76">
        <f>CV15+CW15</f>
        <v>-51275.499999999534</v>
      </c>
      <c r="CY15" s="76">
        <f>CX15-K15-L15</f>
        <v>-51275.499999999534</v>
      </c>
      <c r="CZ15" s="76">
        <f>BR15-BP15</f>
        <v>0</v>
      </c>
      <c r="DA15" s="76">
        <f>K15+L15</f>
        <v>0</v>
      </c>
      <c r="DB15" s="76">
        <f>-CZ15+DA15+CY15</f>
        <v>-51275.499999999534</v>
      </c>
      <c r="DC15" s="76">
        <f>-BP15-DA15</f>
        <v>0</v>
      </c>
      <c r="DD15" s="76">
        <f>DB15+DC15+BR15</f>
        <v>-51275.499999999534</v>
      </c>
      <c r="DE15" s="76">
        <f>Z15+AA15+AB15</f>
        <v>428363.5</v>
      </c>
      <c r="DF15" s="76">
        <f>CS15/B15</f>
        <v>30.79089361702122</v>
      </c>
      <c r="DG15" s="76">
        <f>CH15/B15</f>
        <v>-3.573531914893617</v>
      </c>
      <c r="DH15" s="76">
        <f>DE15/B15</f>
        <v>364.5646808510638</v>
      </c>
      <c r="DI15" s="77">
        <f>CZ15/B15</f>
        <v>0</v>
      </c>
      <c r="DJ15" s="72">
        <f>DB15/B15</f>
        <v>-43.638723404254925</v>
      </c>
      <c r="DK15" s="151">
        <f t="shared" si="46"/>
        <v>-163820.7</v>
      </c>
      <c r="DL15" s="72">
        <v>39</v>
      </c>
      <c r="DM15" s="72">
        <v>82</v>
      </c>
      <c r="DN15" s="63">
        <v>0</v>
      </c>
    </row>
    <row r="16" spans="1:118" ht="12.75">
      <c r="A16" s="49" t="s">
        <v>34</v>
      </c>
      <c r="B16" s="40">
        <v>592</v>
      </c>
      <c r="C16" s="36">
        <v>1187023</v>
      </c>
      <c r="D16" s="37">
        <v>2005.11</v>
      </c>
      <c r="E16" s="37">
        <v>62.93</v>
      </c>
      <c r="F16" s="124">
        <v>10</v>
      </c>
      <c r="G16" s="130">
        <f>(G44/($B$13+$B$16)*$B$16)</f>
        <v>407994.96435432235</v>
      </c>
      <c r="H16" s="130">
        <f aca="true" t="shared" si="59" ref="H16:BU16">(H44/($B$13+$B$16)*$B$16)</f>
        <v>69658.34023479189</v>
      </c>
      <c r="I16" s="130">
        <f t="shared" si="59"/>
        <v>3476.5310565635004</v>
      </c>
      <c r="J16" s="130">
        <f t="shared" si="59"/>
        <v>0</v>
      </c>
      <c r="K16" s="130">
        <f t="shared" si="59"/>
        <v>340968.62326574174</v>
      </c>
      <c r="L16" s="130">
        <f t="shared" si="59"/>
        <v>0</v>
      </c>
      <c r="M16" s="41">
        <f t="shared" si="0"/>
        <v>340968.62326574174</v>
      </c>
      <c r="N16" s="130">
        <f t="shared" si="59"/>
        <v>0</v>
      </c>
      <c r="O16" s="130">
        <f t="shared" si="59"/>
        <v>257044.0939167556</v>
      </c>
      <c r="P16" s="130">
        <f t="shared" si="59"/>
        <v>13725.270437566704</v>
      </c>
      <c r="Q16" s="130">
        <f t="shared" si="59"/>
        <v>0</v>
      </c>
      <c r="R16" s="130">
        <f t="shared" si="59"/>
        <v>0</v>
      </c>
      <c r="S16" s="130">
        <f t="shared" si="59"/>
        <v>0</v>
      </c>
      <c r="T16" s="130">
        <f t="shared" si="59"/>
        <v>0</v>
      </c>
      <c r="U16" s="130">
        <f t="shared" si="59"/>
        <v>0</v>
      </c>
      <c r="V16" s="130">
        <f t="shared" si="59"/>
        <v>0</v>
      </c>
      <c r="W16" s="41">
        <f>SUM(R16:V16)</f>
        <v>0</v>
      </c>
      <c r="X16" s="130">
        <f t="shared" si="59"/>
        <v>0</v>
      </c>
      <c r="Y16" s="41">
        <f>SUM(G16:X16)-M16-W16</f>
        <v>1092867.823265742</v>
      </c>
      <c r="Z16" s="130">
        <f t="shared" si="59"/>
        <v>141365.11419423693</v>
      </c>
      <c r="AA16" s="130">
        <f t="shared" si="59"/>
        <v>0</v>
      </c>
      <c r="AB16" s="130">
        <f t="shared" si="59"/>
        <v>0</v>
      </c>
      <c r="AC16" s="130">
        <f t="shared" si="59"/>
        <v>2970.740661686233</v>
      </c>
      <c r="AD16" s="130">
        <f t="shared" si="59"/>
        <v>0</v>
      </c>
      <c r="AE16" s="41">
        <f>SUM(Z16:AD16)</f>
        <v>144335.85485592316</v>
      </c>
      <c r="AF16" s="130">
        <f t="shared" si="59"/>
        <v>0</v>
      </c>
      <c r="AG16" s="130">
        <f t="shared" si="59"/>
        <v>125.82369263607258</v>
      </c>
      <c r="AH16" s="130">
        <f t="shared" si="59"/>
        <v>0</v>
      </c>
      <c r="AI16" s="130">
        <f t="shared" si="59"/>
        <v>20033.355816435433</v>
      </c>
      <c r="AJ16" s="130">
        <f t="shared" si="59"/>
        <v>487325.08089647815</v>
      </c>
      <c r="AK16" s="130">
        <f t="shared" si="59"/>
        <v>252.72145144076842</v>
      </c>
      <c r="AL16" s="130">
        <f t="shared" si="59"/>
        <v>162435.3545357524</v>
      </c>
      <c r="AM16" s="130">
        <f t="shared" si="59"/>
        <v>0</v>
      </c>
      <c r="AN16" s="130">
        <f t="shared" si="59"/>
        <v>0</v>
      </c>
      <c r="AO16" s="130">
        <f t="shared" si="59"/>
        <v>0</v>
      </c>
      <c r="AP16" s="130">
        <f t="shared" si="59"/>
        <v>0</v>
      </c>
      <c r="AQ16" s="130">
        <f t="shared" si="59"/>
        <v>0</v>
      </c>
      <c r="AR16" s="130">
        <f t="shared" si="59"/>
        <v>0</v>
      </c>
      <c r="AS16" s="4">
        <f>SUM(AN16:AR16)</f>
        <v>0</v>
      </c>
      <c r="AT16" s="130">
        <f t="shared" si="59"/>
        <v>0</v>
      </c>
      <c r="AU16" s="4">
        <f>SUM(Z16:AT16)-AE16-AH16-AS16</f>
        <v>814508.191248666</v>
      </c>
      <c r="AV16" s="130">
        <f t="shared" si="59"/>
        <v>0</v>
      </c>
      <c r="AW16" s="130">
        <f t="shared" si="59"/>
        <v>278359.6320170757</v>
      </c>
      <c r="AX16" s="4">
        <f>Y16-AU16+AV16-AW16</f>
        <v>0</v>
      </c>
      <c r="AY16" s="130">
        <f t="shared" si="59"/>
        <v>0</v>
      </c>
      <c r="AZ16" s="130">
        <f t="shared" si="59"/>
        <v>0</v>
      </c>
      <c r="BA16" s="130">
        <f t="shared" si="59"/>
        <v>0</v>
      </c>
      <c r="BB16" s="130">
        <f t="shared" si="59"/>
        <v>0</v>
      </c>
      <c r="BC16" s="130">
        <f t="shared" si="59"/>
        <v>0</v>
      </c>
      <c r="BD16" s="130">
        <f t="shared" si="59"/>
        <v>0</v>
      </c>
      <c r="BE16" s="130">
        <f t="shared" si="59"/>
        <v>0</v>
      </c>
      <c r="BF16" s="41">
        <f>SUM(AZ16:BE16)</f>
        <v>0</v>
      </c>
      <c r="BG16" s="130">
        <f t="shared" si="59"/>
        <v>0</v>
      </c>
      <c r="BH16" s="130">
        <f t="shared" si="59"/>
        <v>0</v>
      </c>
      <c r="BI16" s="130">
        <f t="shared" si="59"/>
        <v>0</v>
      </c>
      <c r="BJ16" s="130">
        <f t="shared" si="59"/>
        <v>0</v>
      </c>
      <c r="BK16" s="130">
        <f t="shared" si="59"/>
        <v>0</v>
      </c>
      <c r="BL16" s="130">
        <f t="shared" si="59"/>
        <v>0</v>
      </c>
      <c r="BM16" s="130">
        <f t="shared" si="59"/>
        <v>0</v>
      </c>
      <c r="BN16" s="130">
        <f t="shared" si="59"/>
        <v>0</v>
      </c>
      <c r="BO16" s="41">
        <f>SUM(BG16:BN16)</f>
        <v>0</v>
      </c>
      <c r="BP16" s="130">
        <f t="shared" si="59"/>
        <v>0</v>
      </c>
      <c r="BQ16" s="130">
        <f t="shared" si="59"/>
        <v>0</v>
      </c>
      <c r="BR16" s="130">
        <f t="shared" si="59"/>
        <v>0</v>
      </c>
      <c r="BS16" s="41">
        <f>+BF16-BO16+BP16+BQ16-BR16</f>
        <v>0</v>
      </c>
      <c r="BT16" s="130">
        <f t="shared" si="59"/>
        <v>82195.47235859126</v>
      </c>
      <c r="BU16" s="130">
        <f t="shared" si="59"/>
        <v>1002704.2962646745</v>
      </c>
      <c r="BV16" s="130">
        <f aca="true" t="shared" si="60" ref="BV16:CA16">(BV44/($B$13+$B$16)*$B$16)</f>
        <v>0</v>
      </c>
      <c r="BW16" s="130">
        <f t="shared" si="60"/>
        <v>278359.6320170757</v>
      </c>
      <c r="BX16" s="4">
        <f>SUM(BT16:BW16)</f>
        <v>1363259.4006403415</v>
      </c>
      <c r="BY16" s="130">
        <f t="shared" si="60"/>
        <v>1249722.424759872</v>
      </c>
      <c r="BZ16" s="130">
        <f t="shared" si="60"/>
        <v>0</v>
      </c>
      <c r="CA16" s="130">
        <f t="shared" si="60"/>
        <v>113536.97588046959</v>
      </c>
      <c r="CB16" s="4">
        <f>SUM(BY16:CA16)</f>
        <v>1363259.4006403417</v>
      </c>
      <c r="CC16" s="4">
        <f>BX16-CB16</f>
        <v>0</v>
      </c>
      <c r="CD16" s="70">
        <f>K16+L16+AV16-AW16</f>
        <v>62608.99124866602</v>
      </c>
      <c r="CE16" s="72">
        <f>CD16+W16-AS16</f>
        <v>62608.99124866602</v>
      </c>
      <c r="CF16" s="72">
        <f>BR16-BP16</f>
        <v>0</v>
      </c>
      <c r="CG16" s="72">
        <f t="shared" si="35"/>
        <v>814508.191248666</v>
      </c>
      <c r="CH16" s="72">
        <f>I16-AG16+AY16+AH16+BQ16</f>
        <v>3350.7073639274277</v>
      </c>
      <c r="CI16" s="35">
        <f>CH16+K16</f>
        <v>344319.3306296692</v>
      </c>
      <c r="CJ16" s="57" t="str">
        <f t="shared" si="36"/>
        <v>-</v>
      </c>
      <c r="CK16" s="57" t="str">
        <f t="shared" si="37"/>
        <v>-</v>
      </c>
      <c r="CL16" s="148">
        <f t="shared" si="38"/>
        <v>0.07686723340705084</v>
      </c>
      <c r="CM16" s="148">
        <f t="shared" si="39"/>
        <v>0.07686723340705084</v>
      </c>
      <c r="CN16" s="148">
        <f t="shared" si="40"/>
        <v>0.004113779824351049</v>
      </c>
      <c r="CO16" s="148">
        <f t="shared" si="41"/>
        <v>0.42273280284857184</v>
      </c>
      <c r="CP16" s="148">
        <f t="shared" si="42"/>
        <v>0.25375864788947494</v>
      </c>
      <c r="CQ16" s="148">
        <f t="shared" si="43"/>
        <v>0.25375864788947494</v>
      </c>
      <c r="CR16" s="149">
        <f t="shared" si="44"/>
        <v>-18.647911891187942</v>
      </c>
      <c r="CS16" s="72">
        <f t="shared" si="45"/>
        <v>-1167526.9524012809</v>
      </c>
      <c r="CT16" s="76">
        <f>Y16-K16-L16-V16</f>
        <v>751899.2000000003</v>
      </c>
      <c r="CU16" s="76">
        <f>AU16-AR16</f>
        <v>814508.191248666</v>
      </c>
      <c r="CV16" s="76">
        <f>CU16-CT16</f>
        <v>62608.99124866573</v>
      </c>
      <c r="CW16" s="76">
        <f>-V16+AR16</f>
        <v>0</v>
      </c>
      <c r="CX16" s="76">
        <f>CV16+CW16</f>
        <v>62608.99124866573</v>
      </c>
      <c r="CY16" s="76">
        <f>CX16-K16-L16</f>
        <v>-278359.632017076</v>
      </c>
      <c r="CZ16" s="76">
        <f>BR16-BP16</f>
        <v>0</v>
      </c>
      <c r="DA16" s="76">
        <f>K16+L16</f>
        <v>340968.62326574174</v>
      </c>
      <c r="DB16" s="76">
        <f>-CZ16+DA16+CY16</f>
        <v>62608.99124866573</v>
      </c>
      <c r="DC16" s="76">
        <f>-BP16-DA16</f>
        <v>-340968.62326574174</v>
      </c>
      <c r="DD16" s="76">
        <f>DB16+DC16+BR16</f>
        <v>-278359.632017076</v>
      </c>
      <c r="DE16" s="76">
        <f>Z16+AA16+AB16</f>
        <v>141365.11419423693</v>
      </c>
      <c r="DF16" s="76">
        <f>CS16/B16</f>
        <v>-1972.1739060832447</v>
      </c>
      <c r="DG16" s="76">
        <f>CH16/B16</f>
        <v>5.659978655282817</v>
      </c>
      <c r="DH16" s="76">
        <f>DE16/B16</f>
        <v>238.7924226254002</v>
      </c>
      <c r="DI16" s="77">
        <f>CZ16/B16</f>
        <v>0</v>
      </c>
      <c r="DJ16" s="72">
        <f>DB16/B16</f>
        <v>105.7584311632867</v>
      </c>
      <c r="DK16" s="151">
        <f t="shared" si="46"/>
        <v>-1167526.9524012806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41">
        <v>380</v>
      </c>
      <c r="C17" s="4">
        <v>918924</v>
      </c>
      <c r="D17" s="32">
        <v>2418.22</v>
      </c>
      <c r="E17" s="32">
        <v>75.89</v>
      </c>
      <c r="F17" s="8">
        <v>10</v>
      </c>
      <c r="G17" s="142">
        <f>(G49/($B$49)*$B$17)+(G50/($B$50)*$B$17)+(G47)</f>
        <v>472263.77368500637</v>
      </c>
      <c r="H17" s="142">
        <f aca="true" t="shared" si="61" ref="H17:BU17">(H49/($B$49)*$B$17)+(H50/($B$50)*$B$17)+(H47)</f>
        <v>132292.16957061453</v>
      </c>
      <c r="I17" s="142">
        <f t="shared" si="61"/>
        <v>7617.773262972446</v>
      </c>
      <c r="J17" s="142">
        <f t="shared" si="61"/>
        <v>0</v>
      </c>
      <c r="K17" s="142">
        <f t="shared" si="61"/>
        <v>0</v>
      </c>
      <c r="L17" s="142">
        <f t="shared" si="61"/>
        <v>0</v>
      </c>
      <c r="M17" s="41">
        <f t="shared" si="0"/>
        <v>0</v>
      </c>
      <c r="N17" s="142">
        <f t="shared" si="61"/>
        <v>0</v>
      </c>
      <c r="O17" s="142">
        <f t="shared" si="61"/>
        <v>215097.82235179786</v>
      </c>
      <c r="P17" s="142">
        <f t="shared" si="61"/>
        <v>9234.1</v>
      </c>
      <c r="Q17" s="142">
        <f t="shared" si="61"/>
        <v>0</v>
      </c>
      <c r="R17" s="142">
        <f t="shared" si="61"/>
        <v>0</v>
      </c>
      <c r="S17" s="142">
        <f t="shared" si="61"/>
        <v>0</v>
      </c>
      <c r="T17" s="142">
        <f t="shared" si="61"/>
        <v>0</v>
      </c>
      <c r="U17" s="142">
        <f t="shared" si="61"/>
        <v>0</v>
      </c>
      <c r="V17" s="142">
        <f t="shared" si="61"/>
        <v>0</v>
      </c>
      <c r="W17" s="41">
        <f>SUM(R17:V17)</f>
        <v>0</v>
      </c>
      <c r="X17" s="142">
        <f t="shared" si="61"/>
        <v>36162.56171039845</v>
      </c>
      <c r="Y17" s="41">
        <f>SUM(G17:X17)-M17-W17</f>
        <v>872668.2005807896</v>
      </c>
      <c r="Z17" s="142">
        <f t="shared" si="61"/>
        <v>166330.55</v>
      </c>
      <c r="AA17" s="142">
        <f t="shared" si="61"/>
        <v>0</v>
      </c>
      <c r="AB17" s="142">
        <f t="shared" si="61"/>
        <v>0</v>
      </c>
      <c r="AC17" s="142">
        <f t="shared" si="61"/>
        <v>1881.35</v>
      </c>
      <c r="AD17" s="142">
        <f t="shared" si="61"/>
        <v>0</v>
      </c>
      <c r="AE17" s="41">
        <f>SUM(Z17:AD17)</f>
        <v>168211.9</v>
      </c>
      <c r="AF17" s="142">
        <f t="shared" si="61"/>
        <v>0</v>
      </c>
      <c r="AG17" s="142">
        <f t="shared" si="61"/>
        <v>952.25</v>
      </c>
      <c r="AH17" s="142">
        <f t="shared" si="61"/>
        <v>0</v>
      </c>
      <c r="AI17" s="142">
        <f t="shared" si="61"/>
        <v>3006.111273080661</v>
      </c>
      <c r="AJ17" s="142">
        <f t="shared" si="61"/>
        <v>194086.764055524</v>
      </c>
      <c r="AK17" s="142">
        <f t="shared" si="61"/>
        <v>160177.99405843834</v>
      </c>
      <c r="AL17" s="142">
        <f t="shared" si="61"/>
        <v>206239.5704551655</v>
      </c>
      <c r="AM17" s="142">
        <f t="shared" si="61"/>
        <v>0</v>
      </c>
      <c r="AN17" s="142">
        <f t="shared" si="61"/>
        <v>0</v>
      </c>
      <c r="AO17" s="142">
        <f t="shared" si="61"/>
        <v>0</v>
      </c>
      <c r="AP17" s="142">
        <f t="shared" si="61"/>
        <v>0</v>
      </c>
      <c r="AQ17" s="142">
        <f t="shared" si="61"/>
        <v>0</v>
      </c>
      <c r="AR17" s="142">
        <f t="shared" si="61"/>
        <v>0</v>
      </c>
      <c r="AS17" s="4">
        <f>SUM(AN17:AR17)</f>
        <v>0</v>
      </c>
      <c r="AT17" s="142">
        <f t="shared" si="61"/>
        <v>48087.560738581145</v>
      </c>
      <c r="AU17" s="4">
        <f>SUM(Z17:AT17)-AE17-AH17-AS17</f>
        <v>780762.1505807895</v>
      </c>
      <c r="AV17" s="142">
        <f t="shared" si="61"/>
        <v>0</v>
      </c>
      <c r="AW17" s="142">
        <f t="shared" si="61"/>
        <v>91906.05</v>
      </c>
      <c r="AX17" s="4">
        <f>Y17-AU17+AV17-AW17</f>
        <v>0</v>
      </c>
      <c r="AY17" s="142">
        <f t="shared" si="61"/>
        <v>0</v>
      </c>
      <c r="AZ17" s="142">
        <f t="shared" si="61"/>
        <v>0</v>
      </c>
      <c r="BA17" s="142">
        <f t="shared" si="61"/>
        <v>0</v>
      </c>
      <c r="BB17" s="142">
        <f t="shared" si="61"/>
        <v>0</v>
      </c>
      <c r="BC17" s="142">
        <f t="shared" si="61"/>
        <v>0</v>
      </c>
      <c r="BD17" s="142">
        <f t="shared" si="61"/>
        <v>0</v>
      </c>
      <c r="BE17" s="142">
        <f t="shared" si="61"/>
        <v>0</v>
      </c>
      <c r="BF17" s="41">
        <f>SUM(AZ17:BE17)</f>
        <v>0</v>
      </c>
      <c r="BG17" s="142">
        <f t="shared" si="61"/>
        <v>0</v>
      </c>
      <c r="BH17" s="142">
        <f t="shared" si="61"/>
        <v>0</v>
      </c>
      <c r="BI17" s="142">
        <f t="shared" si="61"/>
        <v>0</v>
      </c>
      <c r="BJ17" s="142">
        <f t="shared" si="61"/>
        <v>0</v>
      </c>
      <c r="BK17" s="142">
        <f t="shared" si="61"/>
        <v>0</v>
      </c>
      <c r="BL17" s="142">
        <f t="shared" si="61"/>
        <v>0</v>
      </c>
      <c r="BM17" s="142">
        <f t="shared" si="61"/>
        <v>0</v>
      </c>
      <c r="BN17" s="142">
        <f t="shared" si="61"/>
        <v>0</v>
      </c>
      <c r="BO17" s="41">
        <f>SUM(BG17:BN17)</f>
        <v>0</v>
      </c>
      <c r="BP17" s="142">
        <f t="shared" si="61"/>
        <v>0</v>
      </c>
      <c r="BQ17" s="142">
        <f t="shared" si="61"/>
        <v>0</v>
      </c>
      <c r="BR17" s="142">
        <f t="shared" si="61"/>
        <v>0</v>
      </c>
      <c r="BS17" s="41">
        <f>+BF17-BO17+BP17+BQ17-BR17</f>
        <v>0</v>
      </c>
      <c r="BT17" s="142">
        <f t="shared" si="61"/>
        <v>47679.9</v>
      </c>
      <c r="BU17" s="142">
        <f t="shared" si="61"/>
        <v>580295</v>
      </c>
      <c r="BV17" s="142">
        <f aca="true" t="shared" si="62" ref="BV17:CA17">(BV49/($B$49)*$B$17)+(BV50/($B$50)*$B$17)+(BV47)</f>
        <v>0</v>
      </c>
      <c r="BW17" s="142">
        <f t="shared" si="62"/>
        <v>91906.05</v>
      </c>
      <c r="BX17" s="4">
        <f>SUM(BT17:BW17)</f>
        <v>719880.9500000001</v>
      </c>
      <c r="BY17" s="142">
        <f t="shared" si="62"/>
        <v>662029</v>
      </c>
      <c r="BZ17" s="142">
        <f t="shared" si="62"/>
        <v>0</v>
      </c>
      <c r="CA17" s="142">
        <f t="shared" si="62"/>
        <v>57851.95</v>
      </c>
      <c r="CB17" s="4">
        <f>SUM(BY17:CA17)</f>
        <v>719880.95</v>
      </c>
      <c r="CC17" s="4">
        <f>BX17-CB17</f>
        <v>0</v>
      </c>
      <c r="CD17" s="70">
        <f>K17+L17+AV17-AW17</f>
        <v>-91906.05</v>
      </c>
      <c r="CE17" s="72">
        <f>CD17+W17-AS17</f>
        <v>-91906.05</v>
      </c>
      <c r="CF17" s="72">
        <f>BR17-BP17</f>
        <v>0</v>
      </c>
      <c r="CG17" s="72">
        <f t="shared" si="35"/>
        <v>732674.5898422084</v>
      </c>
      <c r="CH17" s="72">
        <f>I17-AG17+AY17+AH17+BQ17</f>
        <v>6665.523262972446</v>
      </c>
      <c r="CI17" s="35">
        <f>CH17+K17</f>
        <v>6665.523262972446</v>
      </c>
      <c r="CJ17" s="57" t="str">
        <f t="shared" si="36"/>
        <v>-</v>
      </c>
      <c r="CK17" s="57" t="str">
        <f t="shared" si="37"/>
        <v>-</v>
      </c>
      <c r="CL17" s="148">
        <f t="shared" si="38"/>
        <v>-0.12543911208902883</v>
      </c>
      <c r="CM17" s="148">
        <f t="shared" si="39"/>
        <v>-0.12543911208902883</v>
      </c>
      <c r="CN17" s="148">
        <f t="shared" si="40"/>
        <v>0.009097522086043626</v>
      </c>
      <c r="CO17" s="148">
        <f t="shared" si="41"/>
        <v>0.009097522086043626</v>
      </c>
      <c r="CP17" s="148">
        <f t="shared" si="42"/>
        <v>0</v>
      </c>
      <c r="CQ17" s="148">
        <f t="shared" si="43"/>
        <v>0</v>
      </c>
      <c r="CR17" s="149">
        <f t="shared" si="44"/>
        <v>6.684533825575138</v>
      </c>
      <c r="CS17" s="72">
        <f t="shared" si="45"/>
        <v>-614349.1</v>
      </c>
      <c r="CT17" s="76">
        <f>Y17-K17-L17-V17</f>
        <v>872668.2005807896</v>
      </c>
      <c r="CU17" s="76">
        <f>AU17-AR17</f>
        <v>780762.1505807895</v>
      </c>
      <c r="CV17" s="76">
        <f>CU17-CT17</f>
        <v>-91906.05000000005</v>
      </c>
      <c r="CW17" s="76">
        <f>-V17+AR17</f>
        <v>0</v>
      </c>
      <c r="CX17" s="76">
        <f>CV17+CW17</f>
        <v>-91906.05000000005</v>
      </c>
      <c r="CY17" s="76">
        <f>CX17-K17-L17</f>
        <v>-91906.05000000005</v>
      </c>
      <c r="CZ17" s="76">
        <f>BR17-BP17</f>
        <v>0</v>
      </c>
      <c r="DA17" s="76">
        <f>K17+L17</f>
        <v>0</v>
      </c>
      <c r="DB17" s="76">
        <f>-CZ17+DA17+CY17</f>
        <v>-91906.05000000005</v>
      </c>
      <c r="DC17" s="76">
        <f>-BP17-DA17</f>
        <v>0</v>
      </c>
      <c r="DD17" s="76">
        <f>DB17+DC17+BR17</f>
        <v>-91906.05000000005</v>
      </c>
      <c r="DE17" s="76">
        <f>Z17+AA17+AB17</f>
        <v>166330.55</v>
      </c>
      <c r="DF17" s="76">
        <f>CS17/B17</f>
        <v>-1616.7081578947368</v>
      </c>
      <c r="DG17" s="76">
        <f>CH17/B17</f>
        <v>17.540850692032752</v>
      </c>
      <c r="DH17" s="76">
        <f>DE17/B17</f>
        <v>437.7119736842105</v>
      </c>
      <c r="DI17" s="77">
        <f>CZ17/B17</f>
        <v>0</v>
      </c>
      <c r="DJ17" s="72">
        <f>DB17/B17</f>
        <v>-241.8580263157896</v>
      </c>
      <c r="DK17" s="151">
        <f t="shared" si="46"/>
        <v>-614349.1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0">
        <v>1046</v>
      </c>
      <c r="C18" s="36">
        <v>6420699</v>
      </c>
      <c r="D18" s="37">
        <v>6138.44</v>
      </c>
      <c r="E18" s="37">
        <v>192.64</v>
      </c>
      <c r="F18" s="124">
        <v>11</v>
      </c>
      <c r="G18" s="130">
        <v>1060167.5</v>
      </c>
      <c r="H18" s="40">
        <v>215111.32</v>
      </c>
      <c r="I18" s="40">
        <v>55179.85</v>
      </c>
      <c r="J18" s="40">
        <v>0</v>
      </c>
      <c r="K18" s="40">
        <v>137302.15</v>
      </c>
      <c r="L18" s="40">
        <v>219697.85</v>
      </c>
      <c r="M18" s="41">
        <f t="shared" si="0"/>
        <v>357000</v>
      </c>
      <c r="N18" s="40">
        <v>0</v>
      </c>
      <c r="O18" s="40">
        <v>303368.5</v>
      </c>
      <c r="P18" s="40">
        <v>3750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aca="true" t="shared" si="63" ref="W18:W31">SUM(R18:V18)</f>
        <v>0</v>
      </c>
      <c r="X18" s="40">
        <v>9907</v>
      </c>
      <c r="Y18" s="41">
        <f aca="true" t="shared" si="64" ref="Y18:Y31">SUM(G18:X18)-M18-W18</f>
        <v>2004484.17</v>
      </c>
      <c r="Z18" s="40">
        <v>828915.35</v>
      </c>
      <c r="AA18" s="40">
        <v>0</v>
      </c>
      <c r="AB18" s="40">
        <v>0</v>
      </c>
      <c r="AC18" s="40">
        <v>4460.25</v>
      </c>
      <c r="AD18" s="40">
        <v>0</v>
      </c>
      <c r="AE18" s="41">
        <f aca="true" t="shared" si="65" ref="AE18:AE31">SUM(Z18:AD18)</f>
        <v>833375.6</v>
      </c>
      <c r="AF18" s="40">
        <v>0</v>
      </c>
      <c r="AG18" s="40">
        <v>2110.1</v>
      </c>
      <c r="AH18" s="40">
        <v>0</v>
      </c>
      <c r="AI18" s="40">
        <v>12403.3</v>
      </c>
      <c r="AJ18" s="40">
        <v>387521.9</v>
      </c>
      <c r="AK18" s="40">
        <v>500</v>
      </c>
      <c r="AL18" s="40">
        <v>433269.3</v>
      </c>
      <c r="AM18" s="40">
        <v>0</v>
      </c>
      <c r="AN18" s="36">
        <v>0</v>
      </c>
      <c r="AO18" s="36">
        <v>0</v>
      </c>
      <c r="AP18" s="36">
        <v>219698.85</v>
      </c>
      <c r="AQ18" s="36">
        <v>0</v>
      </c>
      <c r="AR18" s="36">
        <v>0</v>
      </c>
      <c r="AS18" s="4">
        <f aca="true" t="shared" si="66" ref="AS18:AS31">SUM(AN18:AR18)</f>
        <v>219698.85</v>
      </c>
      <c r="AT18" s="36">
        <v>9907</v>
      </c>
      <c r="AU18" s="4">
        <f aca="true" t="shared" si="67" ref="AU18:AU31">SUM(Z18:AT18)-AE18-AH18-AS18</f>
        <v>1898786.0499999998</v>
      </c>
      <c r="AV18" s="36">
        <v>0</v>
      </c>
      <c r="AW18" s="36">
        <v>105698.12</v>
      </c>
      <c r="AX18" s="4">
        <f aca="true" t="shared" si="68" ref="AX18:AX31">Y18-AU18+AV18-AW18</f>
        <v>1.1641532182693481E-10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aca="true" t="shared" si="69" ref="BF18:BF31">SUM(AZ18:BE18)</f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1">
        <f aca="true" t="shared" si="70" ref="BO18:BO31">SUM(BG18:BN18)</f>
        <v>0</v>
      </c>
      <c r="BP18" s="40">
        <v>0</v>
      </c>
      <c r="BQ18" s="40">
        <v>0</v>
      </c>
      <c r="BR18" s="40">
        <v>0</v>
      </c>
      <c r="BS18" s="41">
        <f aca="true" t="shared" si="71" ref="BS18:BS31">+BF18-BO18+BP18+BQ18-BR18</f>
        <v>0</v>
      </c>
      <c r="BT18" s="36">
        <v>468886.45</v>
      </c>
      <c r="BU18" s="36">
        <v>1233001</v>
      </c>
      <c r="BV18" s="36">
        <v>0</v>
      </c>
      <c r="BW18" s="36">
        <v>17495.62</v>
      </c>
      <c r="BX18" s="4">
        <f aca="true" t="shared" si="72" ref="BX18:BX31">SUM(BT18:BW18)</f>
        <v>1719383.07</v>
      </c>
      <c r="BY18" s="36">
        <v>1719383.07</v>
      </c>
      <c r="BZ18" s="36">
        <v>0</v>
      </c>
      <c r="CA18" s="36">
        <v>0</v>
      </c>
      <c r="CB18" s="4">
        <f aca="true" t="shared" si="73" ref="CB18:CB31">SUM(BY18:CA18)</f>
        <v>1719383.07</v>
      </c>
      <c r="CC18" s="4">
        <f aca="true" t="shared" si="74" ref="CC18:CC31">BX18-CB18</f>
        <v>0</v>
      </c>
      <c r="CD18" s="70">
        <f aca="true" t="shared" si="75" ref="CD18:CD31">K18+L18+AV18-AW18</f>
        <v>251301.88</v>
      </c>
      <c r="CE18" s="72">
        <f aca="true" t="shared" si="76" ref="CE18:CE31">CD18+W18-AS18</f>
        <v>31603.03</v>
      </c>
      <c r="CF18" s="72">
        <f aca="true" t="shared" si="77" ref="CF18:CF31">BR18-BP18</f>
        <v>0</v>
      </c>
      <c r="CG18" s="72">
        <f t="shared" si="35"/>
        <v>1669180.1999999997</v>
      </c>
      <c r="CH18" s="72">
        <f aca="true" t="shared" si="78" ref="CH18:CH31">I18-AG18+AY18+AH18+BQ18</f>
        <v>53069.75</v>
      </c>
      <c r="CI18" s="35">
        <f aca="true" t="shared" si="79" ref="CI18:CI31">CH18+K18</f>
        <v>190371.9</v>
      </c>
      <c r="CJ18" s="57" t="str">
        <f t="shared" si="36"/>
        <v>-</v>
      </c>
      <c r="CK18" s="57" t="str">
        <f t="shared" si="37"/>
        <v>-</v>
      </c>
      <c r="CL18" s="148">
        <f t="shared" si="38"/>
        <v>0.150554074389332</v>
      </c>
      <c r="CM18" s="148">
        <f t="shared" si="39"/>
        <v>0.01893326436534534</v>
      </c>
      <c r="CN18" s="148">
        <f t="shared" si="40"/>
        <v>0.031793900982050954</v>
      </c>
      <c r="CO18" s="148">
        <f t="shared" si="41"/>
        <v>0.1140511371989675</v>
      </c>
      <c r="CP18" s="148">
        <f t="shared" si="42"/>
        <v>0.22452816067411277</v>
      </c>
      <c r="CQ18" s="148">
        <f t="shared" si="43"/>
        <v>0.08635349914874267</v>
      </c>
      <c r="CR18" s="149">
        <f t="shared" si="44"/>
        <v>-39.568883743109446</v>
      </c>
      <c r="CS18" s="72">
        <f t="shared" si="45"/>
        <v>-1250496.62</v>
      </c>
      <c r="CT18" s="76">
        <f aca="true" t="shared" si="80" ref="CT18:CT31">Y18-K18-L18-V18</f>
        <v>1647484.17</v>
      </c>
      <c r="CU18" s="76">
        <f aca="true" t="shared" si="81" ref="CU18:CU31">AU18-AR18</f>
        <v>1898786.0499999998</v>
      </c>
      <c r="CV18" s="76">
        <f aca="true" t="shared" si="82" ref="CV18:CV31">CU18-CT18</f>
        <v>251301.8799999999</v>
      </c>
      <c r="CW18" s="76">
        <f aca="true" t="shared" si="83" ref="CW18:CW31">-V18+AR18</f>
        <v>0</v>
      </c>
      <c r="CX18" s="76">
        <f aca="true" t="shared" si="84" ref="CX18:CX31">CV18+CW18</f>
        <v>251301.8799999999</v>
      </c>
      <c r="CY18" s="76">
        <f aca="true" t="shared" si="85" ref="CY18:CY31">CX18-K18-L18</f>
        <v>-105698.12000000011</v>
      </c>
      <c r="CZ18" s="76">
        <f aca="true" t="shared" si="86" ref="CZ18:CZ31">BR18-BP18</f>
        <v>0</v>
      </c>
      <c r="DA18" s="76">
        <f aca="true" t="shared" si="87" ref="DA18:DA31">K18+L18</f>
        <v>357000</v>
      </c>
      <c r="DB18" s="76">
        <f aca="true" t="shared" si="88" ref="DB18:DB31">-CZ18+DA18+CY18</f>
        <v>251301.8799999999</v>
      </c>
      <c r="DC18" s="76">
        <f aca="true" t="shared" si="89" ref="DC18:DC31">-BP18-DA18</f>
        <v>-357000</v>
      </c>
      <c r="DD18" s="76">
        <f aca="true" t="shared" si="90" ref="DD18:DD31">DB18+DC18+BR18</f>
        <v>-105698.12000000011</v>
      </c>
      <c r="DE18" s="76">
        <f aca="true" t="shared" si="91" ref="DE18:DE31">Z18+AA18+AB18</f>
        <v>828915.35</v>
      </c>
      <c r="DF18" s="76">
        <f aca="true" t="shared" si="92" ref="DF18:DF31">CS18/B18</f>
        <v>-1195.5034608030594</v>
      </c>
      <c r="DG18" s="76">
        <f aca="true" t="shared" si="93" ref="DG18:DG31">CH18/B18</f>
        <v>50.73589866156788</v>
      </c>
      <c r="DH18" s="76">
        <f aca="true" t="shared" si="94" ref="DH18:DH31">DE18/B18</f>
        <v>792.4620936902486</v>
      </c>
      <c r="DI18" s="77">
        <f aca="true" t="shared" si="95" ref="DI18:DI31">CZ18/B18</f>
        <v>0</v>
      </c>
      <c r="DJ18" s="72">
        <f aca="true" t="shared" si="96" ref="DJ18:DJ31">DB18/B18</f>
        <v>240.25036328871883</v>
      </c>
      <c r="DK18" s="151">
        <f t="shared" si="46"/>
        <v>-1250496.62</v>
      </c>
      <c r="DL18" s="136">
        <v>21</v>
      </c>
      <c r="DM18" s="136">
        <v>81</v>
      </c>
      <c r="DN18" s="65">
        <v>0</v>
      </c>
    </row>
    <row r="19" spans="1:118" ht="12.75">
      <c r="A19" s="50" t="s">
        <v>35</v>
      </c>
      <c r="B19" s="41">
        <v>2958</v>
      </c>
      <c r="C19" s="4">
        <v>9501172</v>
      </c>
      <c r="D19" s="32">
        <v>3212.03</v>
      </c>
      <c r="E19" s="32">
        <v>100.8</v>
      </c>
      <c r="F19" s="8">
        <v>12</v>
      </c>
      <c r="G19" s="129">
        <v>2000960.35</v>
      </c>
      <c r="H19" s="41">
        <v>449842.1</v>
      </c>
      <c r="I19" s="41">
        <v>358974.3</v>
      </c>
      <c r="J19" s="41">
        <v>0</v>
      </c>
      <c r="K19" s="41">
        <v>35000</v>
      </c>
      <c r="L19" s="41">
        <v>0</v>
      </c>
      <c r="M19" s="41">
        <f t="shared" si="0"/>
        <v>35000</v>
      </c>
      <c r="N19" s="41">
        <v>0</v>
      </c>
      <c r="O19" s="41">
        <v>899135.3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63"/>
        <v>0</v>
      </c>
      <c r="X19" s="41">
        <v>321326</v>
      </c>
      <c r="Y19" s="41">
        <f t="shared" si="64"/>
        <v>4065238.05</v>
      </c>
      <c r="Z19" s="41">
        <v>1357339.85</v>
      </c>
      <c r="AA19" s="41">
        <v>70369.8</v>
      </c>
      <c r="AB19" s="41">
        <v>0</v>
      </c>
      <c r="AC19" s="41">
        <v>16653.75</v>
      </c>
      <c r="AD19" s="41">
        <v>0</v>
      </c>
      <c r="AE19" s="41">
        <f t="shared" si="65"/>
        <v>1444363.4000000001</v>
      </c>
      <c r="AF19" s="41">
        <v>0</v>
      </c>
      <c r="AG19" s="41">
        <v>27713.1</v>
      </c>
      <c r="AH19" s="41">
        <v>0</v>
      </c>
      <c r="AI19" s="41">
        <v>71315.5</v>
      </c>
      <c r="AJ19" s="41">
        <v>844069.75</v>
      </c>
      <c r="AK19" s="41">
        <v>0</v>
      </c>
      <c r="AL19" s="41">
        <v>823705.15</v>
      </c>
      <c r="AM19" s="41">
        <v>0</v>
      </c>
      <c r="AN19" s="4">
        <v>0</v>
      </c>
      <c r="AO19" s="4">
        <v>0</v>
      </c>
      <c r="AP19" s="4">
        <f>7880.75</f>
        <v>7880.75</v>
      </c>
      <c r="AQ19" s="4">
        <v>0</v>
      </c>
      <c r="AR19" s="4">
        <v>0</v>
      </c>
      <c r="AS19" s="4">
        <f t="shared" si="66"/>
        <v>7880.75</v>
      </c>
      <c r="AT19" s="4">
        <f>477656.65</f>
        <v>477656.65</v>
      </c>
      <c r="AU19" s="4">
        <f t="shared" si="67"/>
        <v>3696704.3000000007</v>
      </c>
      <c r="AV19" s="4">
        <v>0</v>
      </c>
      <c r="AW19" s="4">
        <f>368533.75</f>
        <v>368533.75</v>
      </c>
      <c r="AX19" s="4">
        <f t="shared" si="68"/>
        <v>-9.313225746154785E-10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9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70"/>
        <v>0</v>
      </c>
      <c r="BP19" s="41">
        <v>0</v>
      </c>
      <c r="BQ19" s="41">
        <v>0</v>
      </c>
      <c r="BR19" s="41">
        <v>0</v>
      </c>
      <c r="BS19" s="41">
        <f t="shared" si="71"/>
        <v>0</v>
      </c>
      <c r="BT19" s="4">
        <v>1780843.2</v>
      </c>
      <c r="BU19" s="4">
        <v>5306080.55</v>
      </c>
      <c r="BV19" s="4">
        <v>0</v>
      </c>
      <c r="BW19" s="4">
        <v>1249193.17</v>
      </c>
      <c r="BX19" s="4">
        <f t="shared" si="72"/>
        <v>8336116.92</v>
      </c>
      <c r="BY19" s="4">
        <v>8336116.92</v>
      </c>
      <c r="BZ19" s="4">
        <v>0</v>
      </c>
      <c r="CA19" s="4">
        <v>0</v>
      </c>
      <c r="CB19" s="4">
        <f t="shared" si="73"/>
        <v>8336116.92</v>
      </c>
      <c r="CC19" s="4">
        <f t="shared" si="74"/>
        <v>0</v>
      </c>
      <c r="CD19" s="70">
        <f t="shared" si="75"/>
        <v>-333533.75</v>
      </c>
      <c r="CE19" s="72">
        <f t="shared" si="76"/>
        <v>-341414.5</v>
      </c>
      <c r="CF19" s="72">
        <f t="shared" si="77"/>
        <v>0</v>
      </c>
      <c r="CG19" s="72">
        <f t="shared" si="35"/>
        <v>3211166.900000001</v>
      </c>
      <c r="CH19" s="72">
        <f t="shared" si="78"/>
        <v>331261.2</v>
      </c>
      <c r="CI19" s="35">
        <f t="shared" si="79"/>
        <v>366261.2</v>
      </c>
      <c r="CJ19" s="57" t="str">
        <f t="shared" si="36"/>
        <v>-</v>
      </c>
      <c r="CK19" s="57" t="str">
        <f t="shared" si="37"/>
        <v>-</v>
      </c>
      <c r="CL19" s="148">
        <f t="shared" si="38"/>
        <v>-0.10386683731698901</v>
      </c>
      <c r="CM19" s="148">
        <f t="shared" si="39"/>
        <v>-0.10632100748173504</v>
      </c>
      <c r="CN19" s="148">
        <f t="shared" si="40"/>
        <v>0.10315913507952512</v>
      </c>
      <c r="CO19" s="148">
        <f t="shared" si="41"/>
        <v>0.11405859969470908</v>
      </c>
      <c r="CP19" s="148">
        <f t="shared" si="42"/>
        <v>0.006552981119148259</v>
      </c>
      <c r="CQ19" s="148">
        <f t="shared" si="43"/>
        <v>0.006552981119148259</v>
      </c>
      <c r="CR19" s="149">
        <f t="shared" si="44"/>
        <v>19.20033777124287</v>
      </c>
      <c r="CS19" s="72">
        <f t="shared" si="45"/>
        <v>-6555273.72</v>
      </c>
      <c r="CT19" s="76">
        <f t="shared" si="80"/>
        <v>4030238.05</v>
      </c>
      <c r="CU19" s="76">
        <f t="shared" si="81"/>
        <v>3696704.3000000007</v>
      </c>
      <c r="CV19" s="76">
        <f t="shared" si="82"/>
        <v>-333533.74999999907</v>
      </c>
      <c r="CW19" s="76">
        <f t="shared" si="83"/>
        <v>0</v>
      </c>
      <c r="CX19" s="76">
        <f t="shared" si="84"/>
        <v>-333533.74999999907</v>
      </c>
      <c r="CY19" s="76">
        <f t="shared" si="85"/>
        <v>-368533.74999999907</v>
      </c>
      <c r="CZ19" s="76">
        <f t="shared" si="86"/>
        <v>0</v>
      </c>
      <c r="DA19" s="76">
        <f t="shared" si="87"/>
        <v>35000</v>
      </c>
      <c r="DB19" s="76">
        <f t="shared" si="88"/>
        <v>-333533.74999999907</v>
      </c>
      <c r="DC19" s="76">
        <f t="shared" si="89"/>
        <v>-35000</v>
      </c>
      <c r="DD19" s="76">
        <f t="shared" si="90"/>
        <v>-368533.74999999907</v>
      </c>
      <c r="DE19" s="76">
        <f t="shared" si="91"/>
        <v>1427709.6500000001</v>
      </c>
      <c r="DF19" s="76">
        <f t="shared" si="92"/>
        <v>-2216.1168762677485</v>
      </c>
      <c r="DG19" s="76">
        <f t="shared" si="93"/>
        <v>111.98823529411766</v>
      </c>
      <c r="DH19" s="76">
        <f t="shared" si="94"/>
        <v>482.6604631507776</v>
      </c>
      <c r="DI19" s="77">
        <f t="shared" si="95"/>
        <v>0</v>
      </c>
      <c r="DJ19" s="72">
        <f t="shared" si="96"/>
        <v>-112.75650777552369</v>
      </c>
      <c r="DK19" s="151">
        <f t="shared" si="46"/>
        <v>-6555273.72</v>
      </c>
      <c r="DL19" s="72">
        <v>69</v>
      </c>
      <c r="DM19" s="72">
        <v>284</v>
      </c>
      <c r="DN19" s="63">
        <v>0</v>
      </c>
    </row>
    <row r="20" spans="1:118" ht="12.75">
      <c r="A20" s="49" t="s">
        <v>12</v>
      </c>
      <c r="B20" s="40">
        <v>436</v>
      </c>
      <c r="C20" s="36">
        <v>1229517</v>
      </c>
      <c r="D20" s="37">
        <v>2819.99</v>
      </c>
      <c r="E20" s="37">
        <v>88.5</v>
      </c>
      <c r="F20" s="124">
        <v>10</v>
      </c>
      <c r="G20" s="130">
        <v>351188.2</v>
      </c>
      <c r="H20" s="40">
        <v>73754.6</v>
      </c>
      <c r="I20" s="40">
        <v>44422.8</v>
      </c>
      <c r="J20" s="40">
        <v>0</v>
      </c>
      <c r="K20" s="40">
        <v>78816.3</v>
      </c>
      <c r="L20" s="40">
        <v>0</v>
      </c>
      <c r="M20" s="41">
        <f t="shared" si="0"/>
        <v>78816.3</v>
      </c>
      <c r="N20" s="40">
        <v>0</v>
      </c>
      <c r="O20" s="40">
        <v>140819.9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63"/>
        <v>0</v>
      </c>
      <c r="X20" s="40">
        <v>0</v>
      </c>
      <c r="Y20" s="41">
        <f t="shared" si="64"/>
        <v>689001.8</v>
      </c>
      <c r="Z20" s="40">
        <v>159657.75</v>
      </c>
      <c r="AA20" s="40">
        <v>1216.4</v>
      </c>
      <c r="AB20" s="40">
        <v>0</v>
      </c>
      <c r="AC20" s="40">
        <v>1895.7</v>
      </c>
      <c r="AD20" s="40">
        <v>0</v>
      </c>
      <c r="AE20" s="41">
        <f t="shared" si="65"/>
        <v>162769.85</v>
      </c>
      <c r="AF20" s="40">
        <v>0</v>
      </c>
      <c r="AG20" s="40">
        <v>3816.1</v>
      </c>
      <c r="AH20" s="40">
        <v>0</v>
      </c>
      <c r="AI20" s="40">
        <v>2261.1</v>
      </c>
      <c r="AJ20" s="40">
        <v>340568.1</v>
      </c>
      <c r="AK20" s="40">
        <v>0</v>
      </c>
      <c r="AL20" s="40">
        <v>162340.95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6"/>
        <v>0</v>
      </c>
      <c r="AT20" s="36">
        <v>0</v>
      </c>
      <c r="AU20" s="4">
        <f t="shared" si="67"/>
        <v>671756.1</v>
      </c>
      <c r="AV20" s="36">
        <v>0</v>
      </c>
      <c r="AW20" s="36">
        <v>17245.7</v>
      </c>
      <c r="AX20" s="4">
        <f t="shared" si="68"/>
        <v>6.912159733474255E-11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9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70"/>
        <v>0</v>
      </c>
      <c r="BP20" s="40">
        <v>0</v>
      </c>
      <c r="BQ20" s="40">
        <v>0</v>
      </c>
      <c r="BR20" s="40">
        <v>0</v>
      </c>
      <c r="BS20" s="41">
        <f t="shared" si="71"/>
        <v>0</v>
      </c>
      <c r="BT20" s="36">
        <v>453292.9</v>
      </c>
      <c r="BU20" s="36">
        <v>1015128.1</v>
      </c>
      <c r="BV20" s="36">
        <v>0</v>
      </c>
      <c r="BW20" s="36">
        <v>269874.7</v>
      </c>
      <c r="BX20" s="4">
        <f t="shared" si="72"/>
        <v>1738295.7</v>
      </c>
      <c r="BY20" s="36">
        <v>1738295.7</v>
      </c>
      <c r="BZ20" s="36">
        <v>0</v>
      </c>
      <c r="CA20" s="36">
        <v>0</v>
      </c>
      <c r="CB20" s="4">
        <f t="shared" si="73"/>
        <v>1738295.7</v>
      </c>
      <c r="CC20" s="4">
        <f t="shared" si="74"/>
        <v>0</v>
      </c>
      <c r="CD20" s="70">
        <f t="shared" si="75"/>
        <v>61570.600000000006</v>
      </c>
      <c r="CE20" s="72">
        <f t="shared" si="76"/>
        <v>61570.600000000006</v>
      </c>
      <c r="CF20" s="72">
        <f t="shared" si="77"/>
        <v>0</v>
      </c>
      <c r="CG20" s="72">
        <f t="shared" si="35"/>
        <v>671756.1</v>
      </c>
      <c r="CH20" s="72">
        <f t="shared" si="78"/>
        <v>40606.700000000004</v>
      </c>
      <c r="CI20" s="35">
        <f t="shared" si="79"/>
        <v>119423</v>
      </c>
      <c r="CJ20" s="57" t="str">
        <f t="shared" si="36"/>
        <v>-</v>
      </c>
      <c r="CK20" s="57" t="str">
        <f t="shared" si="37"/>
        <v>-</v>
      </c>
      <c r="CL20" s="148">
        <f t="shared" si="38"/>
        <v>0.0916561829509252</v>
      </c>
      <c r="CM20" s="148">
        <f t="shared" si="39"/>
        <v>0.0916561829509252</v>
      </c>
      <c r="CN20" s="148">
        <f t="shared" si="40"/>
        <v>0.06044857649971471</v>
      </c>
      <c r="CO20" s="148">
        <f t="shared" si="41"/>
        <v>0.17777732126288098</v>
      </c>
      <c r="CP20" s="148">
        <f t="shared" si="42"/>
        <v>0.07204781157067947</v>
      </c>
      <c r="CQ20" s="148">
        <f t="shared" si="43"/>
        <v>0.07204781157067947</v>
      </c>
      <c r="CR20" s="149">
        <f t="shared" si="44"/>
        <v>-20.870395935722563</v>
      </c>
      <c r="CS20" s="72">
        <f t="shared" si="45"/>
        <v>-1285002.7999999998</v>
      </c>
      <c r="CT20" s="76">
        <f t="shared" si="80"/>
        <v>610185.5</v>
      </c>
      <c r="CU20" s="76">
        <f t="shared" si="81"/>
        <v>671756.1</v>
      </c>
      <c r="CV20" s="76">
        <f t="shared" si="82"/>
        <v>61570.59999999998</v>
      </c>
      <c r="CW20" s="76">
        <f t="shared" si="83"/>
        <v>0</v>
      </c>
      <c r="CX20" s="76">
        <f t="shared" si="84"/>
        <v>61570.59999999998</v>
      </c>
      <c r="CY20" s="76">
        <f t="shared" si="85"/>
        <v>-17245.700000000026</v>
      </c>
      <c r="CZ20" s="76">
        <f t="shared" si="86"/>
        <v>0</v>
      </c>
      <c r="DA20" s="76">
        <f t="shared" si="87"/>
        <v>78816.3</v>
      </c>
      <c r="DB20" s="76">
        <f t="shared" si="88"/>
        <v>61570.59999999998</v>
      </c>
      <c r="DC20" s="76">
        <f t="shared" si="89"/>
        <v>-78816.3</v>
      </c>
      <c r="DD20" s="76">
        <f t="shared" si="90"/>
        <v>-17245.700000000026</v>
      </c>
      <c r="DE20" s="76">
        <f t="shared" si="91"/>
        <v>160874.15</v>
      </c>
      <c r="DF20" s="76">
        <f t="shared" si="92"/>
        <v>-2947.2541284403665</v>
      </c>
      <c r="DG20" s="76">
        <f t="shared" si="93"/>
        <v>93.13463302752295</v>
      </c>
      <c r="DH20" s="76">
        <f t="shared" si="94"/>
        <v>368.9774082568807</v>
      </c>
      <c r="DI20" s="77">
        <f t="shared" si="95"/>
        <v>0</v>
      </c>
      <c r="DJ20" s="72">
        <f t="shared" si="96"/>
        <v>141.21697247706416</v>
      </c>
      <c r="DK20" s="151">
        <f t="shared" si="46"/>
        <v>-1285002.8</v>
      </c>
      <c r="DL20" s="136">
        <v>11</v>
      </c>
      <c r="DM20" s="136">
        <v>49</v>
      </c>
      <c r="DN20" s="65">
        <v>0</v>
      </c>
    </row>
    <row r="21" spans="1:118" ht="12.75">
      <c r="A21" s="50" t="s">
        <v>219</v>
      </c>
      <c r="B21" s="41">
        <v>3937</v>
      </c>
      <c r="C21" s="4">
        <v>13719689</v>
      </c>
      <c r="D21" s="32">
        <v>3484.81</v>
      </c>
      <c r="E21" s="32">
        <v>109.36</v>
      </c>
      <c r="F21" s="8">
        <v>9</v>
      </c>
      <c r="G21" s="129">
        <f>SUM(G40:G41)</f>
        <v>4976707.4</v>
      </c>
      <c r="H21" s="129">
        <f aca="true" t="shared" si="97" ref="H21:BU21">SUM(H40:H41)</f>
        <v>690058.4</v>
      </c>
      <c r="I21" s="129">
        <f t="shared" si="97"/>
        <v>98255</v>
      </c>
      <c r="J21" s="129">
        <f t="shared" si="97"/>
        <v>0</v>
      </c>
      <c r="K21" s="129">
        <f t="shared" si="97"/>
        <v>401735</v>
      </c>
      <c r="L21" s="129">
        <f t="shared" si="97"/>
        <v>615</v>
      </c>
      <c r="M21" s="41">
        <f t="shared" si="0"/>
        <v>402350</v>
      </c>
      <c r="N21" s="129">
        <f>SUM(N40:N41)</f>
        <v>128.85</v>
      </c>
      <c r="O21" s="129">
        <f t="shared" si="97"/>
        <v>505530.2</v>
      </c>
      <c r="P21" s="129">
        <f t="shared" si="97"/>
        <v>1579.45</v>
      </c>
      <c r="Q21" s="129">
        <f t="shared" si="97"/>
        <v>3500</v>
      </c>
      <c r="R21" s="129">
        <f t="shared" si="97"/>
        <v>0</v>
      </c>
      <c r="S21" s="129">
        <f t="shared" si="97"/>
        <v>0</v>
      </c>
      <c r="T21" s="129">
        <f t="shared" si="97"/>
        <v>0</v>
      </c>
      <c r="U21" s="129">
        <f t="shared" si="97"/>
        <v>0</v>
      </c>
      <c r="V21" s="129">
        <f t="shared" si="97"/>
        <v>0</v>
      </c>
      <c r="W21" s="41">
        <f t="shared" si="63"/>
        <v>0</v>
      </c>
      <c r="X21" s="129">
        <f t="shared" si="97"/>
        <v>1350370</v>
      </c>
      <c r="Y21" s="41">
        <f t="shared" si="64"/>
        <v>8028479.300000001</v>
      </c>
      <c r="Z21" s="129">
        <f t="shared" si="97"/>
        <v>1493760.2</v>
      </c>
      <c r="AA21" s="129">
        <f t="shared" si="97"/>
        <v>350292.25</v>
      </c>
      <c r="AB21" s="129">
        <f t="shared" si="97"/>
        <v>9673.2</v>
      </c>
      <c r="AC21" s="129">
        <f t="shared" si="97"/>
        <v>33471</v>
      </c>
      <c r="AD21" s="129">
        <f t="shared" si="97"/>
        <v>0</v>
      </c>
      <c r="AE21" s="41">
        <f t="shared" si="65"/>
        <v>1887196.65</v>
      </c>
      <c r="AF21" s="129">
        <f t="shared" si="97"/>
        <v>0</v>
      </c>
      <c r="AG21" s="129">
        <f t="shared" si="97"/>
        <v>2974.15</v>
      </c>
      <c r="AH21" s="129">
        <f t="shared" si="97"/>
        <v>0</v>
      </c>
      <c r="AI21" s="129">
        <f t="shared" si="97"/>
        <v>66091</v>
      </c>
      <c r="AJ21" s="129">
        <f t="shared" si="97"/>
        <v>2123218</v>
      </c>
      <c r="AK21" s="129">
        <f t="shared" si="97"/>
        <v>501296.7</v>
      </c>
      <c r="AL21" s="129">
        <f t="shared" si="97"/>
        <v>2103597</v>
      </c>
      <c r="AM21" s="129">
        <f t="shared" si="97"/>
        <v>2034.5</v>
      </c>
      <c r="AN21" s="129">
        <f t="shared" si="97"/>
        <v>0</v>
      </c>
      <c r="AO21" s="129">
        <f t="shared" si="97"/>
        <v>0</v>
      </c>
      <c r="AP21" s="129">
        <f t="shared" si="97"/>
        <v>0</v>
      </c>
      <c r="AQ21" s="129">
        <f t="shared" si="97"/>
        <v>0</v>
      </c>
      <c r="AR21" s="129">
        <f t="shared" si="97"/>
        <v>0</v>
      </c>
      <c r="AS21" s="4">
        <f t="shared" si="66"/>
        <v>0</v>
      </c>
      <c r="AT21" s="129">
        <f t="shared" si="97"/>
        <v>1350370</v>
      </c>
      <c r="AU21" s="4">
        <f t="shared" si="67"/>
        <v>8036777.999999998</v>
      </c>
      <c r="AV21" s="129">
        <f t="shared" si="97"/>
        <v>15604</v>
      </c>
      <c r="AW21" s="129">
        <f t="shared" si="97"/>
        <v>7305.3</v>
      </c>
      <c r="AX21" s="4">
        <f t="shared" si="68"/>
        <v>2.6075213099829853E-09</v>
      </c>
      <c r="AY21" s="129">
        <f t="shared" si="97"/>
        <v>0</v>
      </c>
      <c r="AZ21" s="129">
        <f t="shared" si="97"/>
        <v>996692.2</v>
      </c>
      <c r="BA21" s="129">
        <f t="shared" si="97"/>
        <v>0</v>
      </c>
      <c r="BB21" s="129">
        <f t="shared" si="97"/>
        <v>0</v>
      </c>
      <c r="BC21" s="129">
        <f t="shared" si="97"/>
        <v>11294.5</v>
      </c>
      <c r="BD21" s="129">
        <f t="shared" si="97"/>
        <v>1980.1</v>
      </c>
      <c r="BE21" s="129">
        <f t="shared" si="97"/>
        <v>0</v>
      </c>
      <c r="BF21" s="41">
        <f t="shared" si="69"/>
        <v>1009966.7999999999</v>
      </c>
      <c r="BG21" s="129">
        <f t="shared" si="97"/>
        <v>47006.8</v>
      </c>
      <c r="BH21" s="129">
        <f t="shared" si="97"/>
        <v>0</v>
      </c>
      <c r="BI21" s="129">
        <f t="shared" si="97"/>
        <v>3735</v>
      </c>
      <c r="BJ21" s="129">
        <f t="shared" si="97"/>
        <v>0</v>
      </c>
      <c r="BK21" s="129">
        <f t="shared" si="97"/>
        <v>3000</v>
      </c>
      <c r="BL21" s="129">
        <f t="shared" si="97"/>
        <v>0</v>
      </c>
      <c r="BM21" s="129">
        <f t="shared" si="97"/>
        <v>150610</v>
      </c>
      <c r="BN21" s="129">
        <f t="shared" si="97"/>
        <v>0</v>
      </c>
      <c r="BO21" s="41">
        <f t="shared" si="70"/>
        <v>204351.8</v>
      </c>
      <c r="BP21" s="129">
        <f t="shared" si="97"/>
        <v>204351.8</v>
      </c>
      <c r="BQ21" s="129">
        <f t="shared" si="97"/>
        <v>0</v>
      </c>
      <c r="BR21" s="129">
        <f t="shared" si="97"/>
        <v>1009966.8</v>
      </c>
      <c r="BS21" s="41">
        <f t="shared" si="71"/>
        <v>0</v>
      </c>
      <c r="BT21" s="129">
        <f t="shared" si="97"/>
        <v>2427797.25</v>
      </c>
      <c r="BU21" s="129">
        <f t="shared" si="97"/>
        <v>2489204.9</v>
      </c>
      <c r="BV21" s="129">
        <f aca="true" t="shared" si="98" ref="BV21:CA21">SUM(BV40:BV41)</f>
        <v>0</v>
      </c>
      <c r="BW21" s="129">
        <f t="shared" si="98"/>
        <v>7305.3</v>
      </c>
      <c r="BX21" s="4">
        <f t="shared" si="72"/>
        <v>4924307.45</v>
      </c>
      <c r="BY21" s="129">
        <f t="shared" si="98"/>
        <v>4683559.2</v>
      </c>
      <c r="BZ21" s="129">
        <f t="shared" si="98"/>
        <v>0</v>
      </c>
      <c r="CA21" s="129">
        <f t="shared" si="98"/>
        <v>240748.25</v>
      </c>
      <c r="CB21" s="4">
        <f t="shared" si="73"/>
        <v>4924307.45</v>
      </c>
      <c r="CC21" s="4">
        <f t="shared" si="74"/>
        <v>0</v>
      </c>
      <c r="CD21" s="70">
        <f t="shared" si="75"/>
        <v>410648.7</v>
      </c>
      <c r="CE21" s="72">
        <f t="shared" si="76"/>
        <v>410648.7</v>
      </c>
      <c r="CF21" s="72">
        <f t="shared" si="77"/>
        <v>805615</v>
      </c>
      <c r="CG21" s="72">
        <f t="shared" si="35"/>
        <v>6684373.499999998</v>
      </c>
      <c r="CH21" s="72">
        <f t="shared" si="78"/>
        <v>95280.85</v>
      </c>
      <c r="CI21" s="35">
        <f t="shared" si="79"/>
        <v>497015.85</v>
      </c>
      <c r="CJ21" s="57">
        <f t="shared" si="36"/>
        <v>0.509733185206333</v>
      </c>
      <c r="CK21" s="57">
        <f t="shared" si="37"/>
        <v>0.509733185206333</v>
      </c>
      <c r="CL21" s="148">
        <f t="shared" si="38"/>
        <v>0.06143413440317184</v>
      </c>
      <c r="CM21" s="148">
        <f t="shared" si="39"/>
        <v>0.06143413440317184</v>
      </c>
      <c r="CN21" s="148">
        <f t="shared" si="40"/>
        <v>0.014254267808344347</v>
      </c>
      <c r="CO21" s="148">
        <f t="shared" si="41"/>
        <v>0.0743548890557956</v>
      </c>
      <c r="CP21" s="148">
        <f t="shared" si="42"/>
        <v>0.1391465885707375</v>
      </c>
      <c r="CQ21" s="148">
        <f t="shared" si="43"/>
        <v>0.13893390023478372</v>
      </c>
      <c r="CR21" s="149">
        <f t="shared" si="44"/>
        <v>-5.493167152361617</v>
      </c>
      <c r="CS21" s="72">
        <f t="shared" si="45"/>
        <v>-2255761.95</v>
      </c>
      <c r="CT21" s="76">
        <f t="shared" si="80"/>
        <v>7626129.300000001</v>
      </c>
      <c r="CU21" s="76">
        <f t="shared" si="81"/>
        <v>8036777.999999998</v>
      </c>
      <c r="CV21" s="76">
        <f t="shared" si="82"/>
        <v>410648.6999999974</v>
      </c>
      <c r="CW21" s="76">
        <f t="shared" si="83"/>
        <v>0</v>
      </c>
      <c r="CX21" s="76">
        <f t="shared" si="84"/>
        <v>410648.6999999974</v>
      </c>
      <c r="CY21" s="76">
        <f t="shared" si="85"/>
        <v>8298.699999997392</v>
      </c>
      <c r="CZ21" s="76">
        <f t="shared" si="86"/>
        <v>805615</v>
      </c>
      <c r="DA21" s="76">
        <f t="shared" si="87"/>
        <v>402350</v>
      </c>
      <c r="DB21" s="76">
        <f t="shared" si="88"/>
        <v>-394966.3000000026</v>
      </c>
      <c r="DC21" s="76">
        <f t="shared" si="89"/>
        <v>-606701.8</v>
      </c>
      <c r="DD21" s="76">
        <f t="shared" si="90"/>
        <v>8298.699999997392</v>
      </c>
      <c r="DE21" s="76">
        <f t="shared" si="91"/>
        <v>1853725.65</v>
      </c>
      <c r="DF21" s="76">
        <f t="shared" si="92"/>
        <v>-572.9646812293626</v>
      </c>
      <c r="DG21" s="76">
        <f t="shared" si="93"/>
        <v>24.201384302768606</v>
      </c>
      <c r="DH21" s="76">
        <f t="shared" si="94"/>
        <v>470.84725679451356</v>
      </c>
      <c r="DI21" s="77">
        <f t="shared" si="95"/>
        <v>204.62661925323852</v>
      </c>
      <c r="DJ21" s="72">
        <f t="shared" si="96"/>
        <v>-100.32164084328235</v>
      </c>
      <c r="DK21" s="151">
        <f t="shared" si="46"/>
        <v>-2255761.9499999997</v>
      </c>
      <c r="DL21" s="72">
        <f>DL40+DL41</f>
        <v>86</v>
      </c>
      <c r="DM21" s="72">
        <f>DM40+DM41</f>
        <v>524</v>
      </c>
      <c r="DN21" s="63">
        <v>0</v>
      </c>
    </row>
    <row r="22" spans="1:118" ht="12.75">
      <c r="A22" s="49" t="s">
        <v>14</v>
      </c>
      <c r="B22" s="40">
        <v>2790</v>
      </c>
      <c r="C22" s="36">
        <v>9219366</v>
      </c>
      <c r="D22" s="37">
        <v>3304.43</v>
      </c>
      <c r="E22" s="37">
        <v>103.7</v>
      </c>
      <c r="F22" s="124">
        <v>15</v>
      </c>
      <c r="G22" s="130">
        <v>2036905.15</v>
      </c>
      <c r="H22" s="40">
        <v>333671.75</v>
      </c>
      <c r="I22" s="40">
        <v>138958.35</v>
      </c>
      <c r="J22" s="40">
        <v>0</v>
      </c>
      <c r="K22" s="40">
        <v>381945.45</v>
      </c>
      <c r="L22" s="40">
        <v>0</v>
      </c>
      <c r="M22" s="41">
        <f t="shared" si="0"/>
        <v>381945.45</v>
      </c>
      <c r="N22" s="40">
        <v>0</v>
      </c>
      <c r="O22" s="40">
        <v>921069</v>
      </c>
      <c r="P22" s="40">
        <v>33267.5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63"/>
        <v>0</v>
      </c>
      <c r="X22" s="40">
        <v>0</v>
      </c>
      <c r="Y22" s="41">
        <f t="shared" si="64"/>
        <v>3845817.2</v>
      </c>
      <c r="Z22" s="40">
        <v>1605483.2</v>
      </c>
      <c r="AA22" s="40">
        <v>164159.3</v>
      </c>
      <c r="AB22" s="40">
        <v>0</v>
      </c>
      <c r="AC22" s="40">
        <v>10692.85</v>
      </c>
      <c r="AD22" s="40">
        <v>0</v>
      </c>
      <c r="AE22" s="41">
        <f t="shared" si="65"/>
        <v>1780335.35</v>
      </c>
      <c r="AF22" s="40">
        <v>0</v>
      </c>
      <c r="AG22" s="40">
        <v>18070.6</v>
      </c>
      <c r="AH22" s="40">
        <v>0</v>
      </c>
      <c r="AI22" s="40">
        <v>57902.6</v>
      </c>
      <c r="AJ22" s="40">
        <v>909876.05</v>
      </c>
      <c r="AK22" s="40">
        <v>0</v>
      </c>
      <c r="AL22" s="40">
        <v>857443.7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6"/>
        <v>0</v>
      </c>
      <c r="AT22" s="36">
        <v>0</v>
      </c>
      <c r="AU22" s="4">
        <f t="shared" si="67"/>
        <v>3623628.3000000003</v>
      </c>
      <c r="AV22" s="36">
        <v>0</v>
      </c>
      <c r="AW22" s="36">
        <v>222188.9</v>
      </c>
      <c r="AX22" s="4">
        <f t="shared" si="68"/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9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70"/>
        <v>0</v>
      </c>
      <c r="BP22" s="40">
        <v>0</v>
      </c>
      <c r="BQ22" s="40">
        <v>0</v>
      </c>
      <c r="BR22" s="40">
        <v>0</v>
      </c>
      <c r="BS22" s="41">
        <f t="shared" si="71"/>
        <v>0</v>
      </c>
      <c r="BT22" s="36">
        <v>1285319.5</v>
      </c>
      <c r="BU22" s="36">
        <v>3591450.4</v>
      </c>
      <c r="BV22" s="36">
        <v>0</v>
      </c>
      <c r="BW22" s="36">
        <v>0</v>
      </c>
      <c r="BX22" s="4">
        <f t="shared" si="72"/>
        <v>4876769.9</v>
      </c>
      <c r="BY22" s="36">
        <v>4648333.05</v>
      </c>
      <c r="BZ22" s="36">
        <v>0</v>
      </c>
      <c r="CA22" s="36">
        <f>927195.53-698758.68</f>
        <v>228436.84999999998</v>
      </c>
      <c r="CB22" s="4">
        <f t="shared" si="73"/>
        <v>4876769.899999999</v>
      </c>
      <c r="CC22" s="4">
        <f t="shared" si="74"/>
        <v>0</v>
      </c>
      <c r="CD22" s="70">
        <f t="shared" si="75"/>
        <v>159756.55000000002</v>
      </c>
      <c r="CE22" s="72">
        <f t="shared" si="76"/>
        <v>159756.55000000002</v>
      </c>
      <c r="CF22" s="72">
        <f t="shared" si="77"/>
        <v>0</v>
      </c>
      <c r="CG22" s="72">
        <f t="shared" si="35"/>
        <v>3623628.3000000003</v>
      </c>
      <c r="CH22" s="72">
        <f t="shared" si="78"/>
        <v>120887.75</v>
      </c>
      <c r="CI22" s="35">
        <f t="shared" si="79"/>
        <v>502833.2</v>
      </c>
      <c r="CJ22" s="57" t="str">
        <f t="shared" si="36"/>
        <v>-</v>
      </c>
      <c r="CK22" s="57" t="str">
        <f t="shared" si="37"/>
        <v>-</v>
      </c>
      <c r="CL22" s="148">
        <f t="shared" si="38"/>
        <v>0.04408745510680552</v>
      </c>
      <c r="CM22" s="148">
        <f t="shared" si="39"/>
        <v>0.04408745510680552</v>
      </c>
      <c r="CN22" s="148">
        <f t="shared" si="40"/>
        <v>0.033360968618111296</v>
      </c>
      <c r="CO22" s="148">
        <f t="shared" si="41"/>
        <v>0.13876511561630092</v>
      </c>
      <c r="CP22" s="148">
        <f t="shared" si="42"/>
        <v>0.09612569812292929</v>
      </c>
      <c r="CQ22" s="148">
        <f t="shared" si="43"/>
        <v>0.09612569812292929</v>
      </c>
      <c r="CR22" s="149">
        <f t="shared" si="44"/>
        <v>-21.05086489411545</v>
      </c>
      <c r="CS22" s="72">
        <f t="shared" si="45"/>
        <v>-3363013.55</v>
      </c>
      <c r="CT22" s="76">
        <f t="shared" si="80"/>
        <v>3463871.75</v>
      </c>
      <c r="CU22" s="76">
        <f t="shared" si="81"/>
        <v>3623628.3000000003</v>
      </c>
      <c r="CV22" s="76">
        <f t="shared" si="82"/>
        <v>159756.55000000028</v>
      </c>
      <c r="CW22" s="76">
        <f t="shared" si="83"/>
        <v>0</v>
      </c>
      <c r="CX22" s="76">
        <f t="shared" si="84"/>
        <v>159756.55000000028</v>
      </c>
      <c r="CY22" s="76">
        <f t="shared" si="85"/>
        <v>-222188.89999999973</v>
      </c>
      <c r="CZ22" s="76">
        <f t="shared" si="86"/>
        <v>0</v>
      </c>
      <c r="DA22" s="76">
        <f t="shared" si="87"/>
        <v>381945.45</v>
      </c>
      <c r="DB22" s="76">
        <f t="shared" si="88"/>
        <v>159756.55000000028</v>
      </c>
      <c r="DC22" s="76">
        <f t="shared" si="89"/>
        <v>-381945.45</v>
      </c>
      <c r="DD22" s="76">
        <f t="shared" si="90"/>
        <v>-222188.89999999973</v>
      </c>
      <c r="DE22" s="76">
        <f t="shared" si="91"/>
        <v>1769642.5</v>
      </c>
      <c r="DF22" s="76">
        <f t="shared" si="92"/>
        <v>-1205.3812007168458</v>
      </c>
      <c r="DG22" s="76">
        <f t="shared" si="93"/>
        <v>43.32894265232975</v>
      </c>
      <c r="DH22" s="76">
        <f t="shared" si="94"/>
        <v>634.2804659498208</v>
      </c>
      <c r="DI22" s="77">
        <f t="shared" si="95"/>
        <v>0</v>
      </c>
      <c r="DJ22" s="72">
        <f t="shared" si="96"/>
        <v>57.26041218638003</v>
      </c>
      <c r="DK22" s="151">
        <f t="shared" si="46"/>
        <v>-3363013.55</v>
      </c>
      <c r="DL22" s="136">
        <v>60</v>
      </c>
      <c r="DM22" s="136">
        <v>212</v>
      </c>
      <c r="DN22" s="65">
        <v>0</v>
      </c>
    </row>
    <row r="23" spans="1:118" ht="12.75">
      <c r="A23" s="50" t="s">
        <v>15</v>
      </c>
      <c r="B23" s="41">
        <v>246</v>
      </c>
      <c r="C23" s="4">
        <v>657883</v>
      </c>
      <c r="D23" s="32">
        <v>2674.32</v>
      </c>
      <c r="E23" s="32">
        <v>83.93</v>
      </c>
      <c r="F23" s="8">
        <v>12</v>
      </c>
      <c r="G23" s="135">
        <f>(G43/($B$12+$B$14+$B$23)*$B$23)</f>
        <v>230161.6574929312</v>
      </c>
      <c r="H23" s="135">
        <f aca="true" t="shared" si="99" ref="H23:BU23">(H43/($B$12+$B$14+$B$23)*$B$23)</f>
        <v>48755.982752120646</v>
      </c>
      <c r="I23" s="135">
        <f t="shared" si="99"/>
        <v>15164.949387370407</v>
      </c>
      <c r="J23" s="135">
        <f t="shared" si="99"/>
        <v>0</v>
      </c>
      <c r="K23" s="135">
        <f t="shared" si="99"/>
        <v>42445.58426013195</v>
      </c>
      <c r="L23" s="135">
        <f t="shared" si="99"/>
        <v>0</v>
      </c>
      <c r="M23" s="41">
        <f t="shared" si="0"/>
        <v>42445.58426013195</v>
      </c>
      <c r="N23" s="135">
        <f t="shared" si="99"/>
        <v>0</v>
      </c>
      <c r="O23" s="135">
        <f t="shared" si="99"/>
        <v>65205.04750235628</v>
      </c>
      <c r="P23" s="135">
        <f t="shared" si="99"/>
        <v>0</v>
      </c>
      <c r="Q23" s="135">
        <f t="shared" si="99"/>
        <v>0</v>
      </c>
      <c r="R23" s="135">
        <f t="shared" si="99"/>
        <v>0</v>
      </c>
      <c r="S23" s="135">
        <f t="shared" si="99"/>
        <v>0</v>
      </c>
      <c r="T23" s="135">
        <f t="shared" si="99"/>
        <v>0</v>
      </c>
      <c r="U23" s="135">
        <f t="shared" si="99"/>
        <v>0</v>
      </c>
      <c r="V23" s="135">
        <f t="shared" si="99"/>
        <v>0</v>
      </c>
      <c r="W23" s="41">
        <f t="shared" si="63"/>
        <v>0</v>
      </c>
      <c r="X23" s="135">
        <f t="shared" si="99"/>
        <v>347.7851083883129</v>
      </c>
      <c r="Y23" s="41">
        <f>SUM(G23:X23)-M23-W23</f>
        <v>402081.00650329876</v>
      </c>
      <c r="Z23" s="135">
        <f t="shared" si="99"/>
        <v>77462.45541941565</v>
      </c>
      <c r="AA23" s="135">
        <f t="shared" si="99"/>
        <v>15799.84269557022</v>
      </c>
      <c r="AB23" s="135">
        <f t="shared" si="99"/>
        <v>0</v>
      </c>
      <c r="AC23" s="135">
        <f t="shared" si="99"/>
        <v>1172.2908576814327</v>
      </c>
      <c r="AD23" s="135">
        <f t="shared" si="99"/>
        <v>0</v>
      </c>
      <c r="AE23" s="41">
        <f t="shared" si="65"/>
        <v>94434.5889726673</v>
      </c>
      <c r="AF23" s="135">
        <f t="shared" si="99"/>
        <v>0</v>
      </c>
      <c r="AG23" s="135">
        <f t="shared" si="99"/>
        <v>828.8414703110274</v>
      </c>
      <c r="AH23" s="135">
        <f t="shared" si="99"/>
        <v>0</v>
      </c>
      <c r="AI23" s="135">
        <f t="shared" si="99"/>
        <v>1317.7809613572103</v>
      </c>
      <c r="AJ23" s="135">
        <f t="shared" si="99"/>
        <v>103616.61432610745</v>
      </c>
      <c r="AK23" s="135">
        <f t="shared" si="99"/>
        <v>0</v>
      </c>
      <c r="AL23" s="135">
        <f t="shared" si="99"/>
        <v>100947.39839773798</v>
      </c>
      <c r="AM23" s="135">
        <f t="shared" si="99"/>
        <v>0</v>
      </c>
      <c r="AN23" s="135">
        <f t="shared" si="99"/>
        <v>0</v>
      </c>
      <c r="AO23" s="135">
        <f t="shared" si="99"/>
        <v>0</v>
      </c>
      <c r="AP23" s="135">
        <f t="shared" si="99"/>
        <v>0</v>
      </c>
      <c r="AQ23" s="135">
        <f t="shared" si="99"/>
        <v>0</v>
      </c>
      <c r="AR23" s="135">
        <f t="shared" si="99"/>
        <v>0</v>
      </c>
      <c r="AS23" s="4">
        <f t="shared" si="66"/>
        <v>0</v>
      </c>
      <c r="AT23" s="135">
        <f t="shared" si="99"/>
        <v>347.7851083883129</v>
      </c>
      <c r="AU23" s="4">
        <f t="shared" si="67"/>
        <v>301493.0092365693</v>
      </c>
      <c r="AV23" s="135">
        <f t="shared" si="99"/>
        <v>0</v>
      </c>
      <c r="AW23" s="135">
        <f t="shared" si="99"/>
        <v>100587.99726672951</v>
      </c>
      <c r="AX23" s="4">
        <f t="shared" si="68"/>
        <v>0</v>
      </c>
      <c r="AY23" s="135">
        <f t="shared" si="99"/>
        <v>0</v>
      </c>
      <c r="AZ23" s="135">
        <f t="shared" si="99"/>
        <v>20509.745711592837</v>
      </c>
      <c r="BA23" s="135">
        <f t="shared" si="99"/>
        <v>0</v>
      </c>
      <c r="BB23" s="135">
        <f t="shared" si="99"/>
        <v>0</v>
      </c>
      <c r="BC23" s="135">
        <f t="shared" si="99"/>
        <v>0</v>
      </c>
      <c r="BD23" s="135">
        <f t="shared" si="99"/>
        <v>0</v>
      </c>
      <c r="BE23" s="135">
        <f t="shared" si="99"/>
        <v>0</v>
      </c>
      <c r="BF23" s="41">
        <f t="shared" si="69"/>
        <v>20509.745711592837</v>
      </c>
      <c r="BG23" s="135">
        <f t="shared" si="99"/>
        <v>0</v>
      </c>
      <c r="BH23" s="135">
        <f t="shared" si="99"/>
        <v>0</v>
      </c>
      <c r="BI23" s="135">
        <f t="shared" si="99"/>
        <v>0</v>
      </c>
      <c r="BJ23" s="135">
        <f t="shared" si="99"/>
        <v>0</v>
      </c>
      <c r="BK23" s="135">
        <f t="shared" si="99"/>
        <v>0</v>
      </c>
      <c r="BL23" s="135">
        <f t="shared" si="99"/>
        <v>7694.397737983035</v>
      </c>
      <c r="BM23" s="135">
        <f t="shared" si="99"/>
        <v>14902.591894439207</v>
      </c>
      <c r="BN23" s="135">
        <f t="shared" si="99"/>
        <v>0</v>
      </c>
      <c r="BO23" s="41">
        <f t="shared" si="70"/>
        <v>22596.989632422243</v>
      </c>
      <c r="BP23" s="135">
        <f t="shared" si="99"/>
        <v>22596.989632422243</v>
      </c>
      <c r="BQ23" s="135">
        <f t="shared" si="99"/>
        <v>0</v>
      </c>
      <c r="BR23" s="135">
        <f t="shared" si="99"/>
        <v>20509.745711592837</v>
      </c>
      <c r="BS23" s="41">
        <f t="shared" si="71"/>
        <v>0</v>
      </c>
      <c r="BT23" s="135">
        <f t="shared" si="99"/>
        <v>235735.509726673</v>
      </c>
      <c r="BU23" s="135">
        <f t="shared" si="99"/>
        <v>250197.53440150802</v>
      </c>
      <c r="BV23" s="135">
        <f aca="true" t="shared" si="100" ref="BV23:CA23">(BV43/($B$12+$B$14+$B$23)*$B$23)</f>
        <v>0</v>
      </c>
      <c r="BW23" s="135">
        <f t="shared" si="100"/>
        <v>53910.876814326104</v>
      </c>
      <c r="BX23" s="4">
        <f t="shared" si="72"/>
        <v>539843.9209425071</v>
      </c>
      <c r="BY23" s="135">
        <f t="shared" si="100"/>
        <v>539843.9209425071</v>
      </c>
      <c r="BZ23" s="135">
        <f t="shared" si="100"/>
        <v>0</v>
      </c>
      <c r="CA23" s="135">
        <f t="shared" si="100"/>
        <v>0</v>
      </c>
      <c r="CB23" s="4">
        <f t="shared" si="73"/>
        <v>539843.9209425071</v>
      </c>
      <c r="CC23" s="4">
        <f t="shared" si="74"/>
        <v>0</v>
      </c>
      <c r="CD23" s="70">
        <f t="shared" si="75"/>
        <v>-58142.413006597555</v>
      </c>
      <c r="CE23" s="72">
        <f t="shared" si="76"/>
        <v>-58142.413006597555</v>
      </c>
      <c r="CF23" s="72">
        <f t="shared" si="77"/>
        <v>-2087.2439208294054</v>
      </c>
      <c r="CG23" s="72">
        <f t="shared" si="35"/>
        <v>301145.224128181</v>
      </c>
      <c r="CH23" s="72">
        <f t="shared" si="78"/>
        <v>14336.10791705938</v>
      </c>
      <c r="CI23" s="35">
        <f t="shared" si="79"/>
        <v>56781.69217719133</v>
      </c>
      <c r="CJ23" s="57">
        <f t="shared" si="36"/>
        <v>27.856070115414962</v>
      </c>
      <c r="CK23" s="57">
        <f t="shared" si="37"/>
        <v>27.856070115414962</v>
      </c>
      <c r="CL23" s="148">
        <f t="shared" si="38"/>
        <v>-0.19307101141955857</v>
      </c>
      <c r="CM23" s="148">
        <f t="shared" si="39"/>
        <v>-0.19307101141955857</v>
      </c>
      <c r="CN23" s="148">
        <f t="shared" si="40"/>
        <v>0.04760529727330919</v>
      </c>
      <c r="CO23" s="148">
        <f t="shared" si="41"/>
        <v>0.18855252425661076</v>
      </c>
      <c r="CP23" s="148">
        <f t="shared" si="42"/>
        <v>0.14504214025004433</v>
      </c>
      <c r="CQ23" s="148">
        <f t="shared" si="43"/>
        <v>0.14504214025004433</v>
      </c>
      <c r="CR23" s="149">
        <f t="shared" si="44"/>
        <v>5.230405748404804</v>
      </c>
      <c r="CS23" s="72">
        <f t="shared" si="45"/>
        <v>-304108.4112158341</v>
      </c>
      <c r="CT23" s="76">
        <f t="shared" si="80"/>
        <v>359635.42224316683</v>
      </c>
      <c r="CU23" s="76">
        <f t="shared" si="81"/>
        <v>301493.0092365693</v>
      </c>
      <c r="CV23" s="76">
        <f t="shared" si="82"/>
        <v>-58142.41300659755</v>
      </c>
      <c r="CW23" s="76">
        <f t="shared" si="83"/>
        <v>0</v>
      </c>
      <c r="CX23" s="76">
        <f t="shared" si="84"/>
        <v>-58142.41300659755</v>
      </c>
      <c r="CY23" s="76">
        <f t="shared" si="85"/>
        <v>-100587.99726672951</v>
      </c>
      <c r="CZ23" s="76">
        <f t="shared" si="86"/>
        <v>-2087.2439208294054</v>
      </c>
      <c r="DA23" s="76">
        <f t="shared" si="87"/>
        <v>42445.58426013195</v>
      </c>
      <c r="DB23" s="76">
        <f t="shared" si="88"/>
        <v>-56055.16908576815</v>
      </c>
      <c r="DC23" s="76">
        <f t="shared" si="89"/>
        <v>-65042.573892554195</v>
      </c>
      <c r="DD23" s="76">
        <f t="shared" si="90"/>
        <v>-100587.99726672951</v>
      </c>
      <c r="DE23" s="76">
        <f t="shared" si="91"/>
        <v>93262.29811498587</v>
      </c>
      <c r="DF23" s="76">
        <f t="shared" si="92"/>
        <v>-1236.2130537229027</v>
      </c>
      <c r="DG23" s="76">
        <f t="shared" si="93"/>
        <v>58.276861451460896</v>
      </c>
      <c r="DH23" s="76">
        <f t="shared" si="94"/>
        <v>379.11503298774744</v>
      </c>
      <c r="DI23" s="77">
        <f t="shared" si="95"/>
        <v>-8.484731385485388</v>
      </c>
      <c r="DJ23" s="72">
        <f t="shared" si="96"/>
        <v>-227.86654099905752</v>
      </c>
      <c r="DK23" s="151">
        <f t="shared" si="46"/>
        <v>-304108.41121583414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0">
        <v>3709</v>
      </c>
      <c r="C24" s="36">
        <v>11250123</v>
      </c>
      <c r="D24" s="37">
        <v>3033.2</v>
      </c>
      <c r="E24" s="37">
        <v>95.19</v>
      </c>
      <c r="F24" s="124">
        <v>12</v>
      </c>
      <c r="G24" s="130">
        <v>5203611.45</v>
      </c>
      <c r="H24" s="40">
        <v>922219.82</v>
      </c>
      <c r="I24" s="40">
        <v>220808.4</v>
      </c>
      <c r="J24" s="40">
        <v>0</v>
      </c>
      <c r="K24" s="40">
        <v>400000</v>
      </c>
      <c r="L24" s="40">
        <v>0</v>
      </c>
      <c r="M24" s="41">
        <f t="shared" si="0"/>
        <v>400000</v>
      </c>
      <c r="N24" s="40">
        <v>0</v>
      </c>
      <c r="O24" s="40">
        <v>271780.55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63"/>
        <v>0</v>
      </c>
      <c r="X24" s="40">
        <v>821840.6</v>
      </c>
      <c r="Y24" s="41">
        <f t="shared" si="64"/>
        <v>7840260.82</v>
      </c>
      <c r="Z24" s="40">
        <v>1559523.45</v>
      </c>
      <c r="AA24" s="40">
        <v>145872.7</v>
      </c>
      <c r="AB24" s="40">
        <v>0</v>
      </c>
      <c r="AC24" s="40">
        <v>29297.8</v>
      </c>
      <c r="AD24" s="40">
        <v>0</v>
      </c>
      <c r="AE24" s="41">
        <f t="shared" si="65"/>
        <v>1734693.95</v>
      </c>
      <c r="AF24" s="40">
        <v>0</v>
      </c>
      <c r="AG24" s="40">
        <v>9690.55</v>
      </c>
      <c r="AH24" s="40">
        <v>0</v>
      </c>
      <c r="AI24" s="40">
        <v>41222.8</v>
      </c>
      <c r="AJ24" s="40">
        <v>2119105.4</v>
      </c>
      <c r="AK24" s="40">
        <v>594334.25</v>
      </c>
      <c r="AL24" s="40">
        <v>2290078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4">
        <f t="shared" si="66"/>
        <v>0</v>
      </c>
      <c r="AT24" s="36">
        <v>821840.73</v>
      </c>
      <c r="AU24" s="4">
        <f t="shared" si="67"/>
        <v>7610965.679999999</v>
      </c>
      <c r="AV24" s="36">
        <v>0</v>
      </c>
      <c r="AW24" s="36">
        <v>229295.27</v>
      </c>
      <c r="AX24" s="4">
        <f t="shared" si="68"/>
        <v>-0.1299999984621536</v>
      </c>
      <c r="AY24" s="40">
        <v>41881.15</v>
      </c>
      <c r="AZ24" s="40">
        <v>1008426.5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9"/>
        <v>1008426.5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430000</v>
      </c>
      <c r="BN24" s="40">
        <v>0</v>
      </c>
      <c r="BO24" s="41">
        <f t="shared" si="70"/>
        <v>430000</v>
      </c>
      <c r="BP24" s="40">
        <v>430000</v>
      </c>
      <c r="BQ24" s="40">
        <v>0</v>
      </c>
      <c r="BR24" s="40">
        <v>1008426.5</v>
      </c>
      <c r="BS24" s="41">
        <f t="shared" si="71"/>
        <v>0</v>
      </c>
      <c r="BT24" s="36">
        <v>3356658.94</v>
      </c>
      <c r="BU24" s="36">
        <v>5582965.75</v>
      </c>
      <c r="BV24" s="36">
        <v>0</v>
      </c>
      <c r="BW24" s="36">
        <v>0</v>
      </c>
      <c r="BX24" s="4">
        <f t="shared" si="72"/>
        <v>8939624.69</v>
      </c>
      <c r="BY24" s="36">
        <v>8380672.54</v>
      </c>
      <c r="BZ24" s="36">
        <v>62000</v>
      </c>
      <c r="CA24" s="36">
        <v>496952.15</v>
      </c>
      <c r="CB24" s="4">
        <f t="shared" si="73"/>
        <v>8939624.69</v>
      </c>
      <c r="CC24" s="4">
        <f t="shared" si="74"/>
        <v>0</v>
      </c>
      <c r="CD24" s="70">
        <f t="shared" si="75"/>
        <v>170704.73</v>
      </c>
      <c r="CE24" s="72">
        <f t="shared" si="76"/>
        <v>170704.73</v>
      </c>
      <c r="CF24" s="72">
        <f t="shared" si="77"/>
        <v>578426.5</v>
      </c>
      <c r="CG24" s="72">
        <f t="shared" si="35"/>
        <v>6789124.949999999</v>
      </c>
      <c r="CH24" s="72">
        <f t="shared" si="78"/>
        <v>252999</v>
      </c>
      <c r="CI24" s="35">
        <f t="shared" si="79"/>
        <v>652999</v>
      </c>
      <c r="CJ24" s="57">
        <f t="shared" si="36"/>
        <v>0.2951191378679919</v>
      </c>
      <c r="CK24" s="57">
        <f t="shared" si="37"/>
        <v>0.2951191378679919</v>
      </c>
      <c r="CL24" s="148">
        <f t="shared" si="38"/>
        <v>0.025143848619253947</v>
      </c>
      <c r="CM24" s="148">
        <f t="shared" si="39"/>
        <v>0.025143848619253947</v>
      </c>
      <c r="CN24" s="148">
        <f t="shared" si="40"/>
        <v>0.03726533269946667</v>
      </c>
      <c r="CO24" s="148">
        <f t="shared" si="41"/>
        <v>0.09618308763046113</v>
      </c>
      <c r="CP24" s="148">
        <f t="shared" si="42"/>
        <v>0.06685647498483507</v>
      </c>
      <c r="CQ24" s="148">
        <f t="shared" si="43"/>
        <v>0.06685647498483507</v>
      </c>
      <c r="CR24" s="149">
        <f t="shared" si="44"/>
        <v>-29.43101576622979</v>
      </c>
      <c r="CS24" s="72">
        <f t="shared" si="45"/>
        <v>-5024013.6</v>
      </c>
      <c r="CT24" s="76">
        <f t="shared" si="80"/>
        <v>7440260.82</v>
      </c>
      <c r="CU24" s="76">
        <f t="shared" si="81"/>
        <v>7610965.679999999</v>
      </c>
      <c r="CV24" s="76">
        <f t="shared" si="82"/>
        <v>170704.85999999847</v>
      </c>
      <c r="CW24" s="76">
        <f t="shared" si="83"/>
        <v>0</v>
      </c>
      <c r="CX24" s="76">
        <f t="shared" si="84"/>
        <v>170704.85999999847</v>
      </c>
      <c r="CY24" s="76">
        <f t="shared" si="85"/>
        <v>-229295.14000000153</v>
      </c>
      <c r="CZ24" s="76">
        <f t="shared" si="86"/>
        <v>578426.5</v>
      </c>
      <c r="DA24" s="76">
        <f t="shared" si="87"/>
        <v>400000</v>
      </c>
      <c r="DB24" s="76">
        <f t="shared" si="88"/>
        <v>-407721.6400000015</v>
      </c>
      <c r="DC24" s="76">
        <f t="shared" si="89"/>
        <v>-830000</v>
      </c>
      <c r="DD24" s="76">
        <f t="shared" si="90"/>
        <v>-229295.14000000153</v>
      </c>
      <c r="DE24" s="76">
        <f t="shared" si="91"/>
        <v>1705396.15</v>
      </c>
      <c r="DF24" s="76">
        <f t="shared" si="92"/>
        <v>-1354.5466702615258</v>
      </c>
      <c r="DG24" s="76">
        <f t="shared" si="93"/>
        <v>68.21218657320033</v>
      </c>
      <c r="DH24" s="76">
        <f t="shared" si="94"/>
        <v>459.79944729037476</v>
      </c>
      <c r="DI24" s="77">
        <f t="shared" si="95"/>
        <v>155.95214343488811</v>
      </c>
      <c r="DJ24" s="72">
        <f t="shared" si="96"/>
        <v>-109.92764626584027</v>
      </c>
      <c r="DK24" s="151">
        <f t="shared" si="46"/>
        <v>-5086013.6</v>
      </c>
      <c r="DL24" s="136">
        <v>83</v>
      </c>
      <c r="DM24" s="136">
        <v>518</v>
      </c>
      <c r="DN24" s="65">
        <v>0</v>
      </c>
    </row>
    <row r="25" spans="1:118" ht="12.75">
      <c r="A25" s="50" t="s">
        <v>36</v>
      </c>
      <c r="B25" s="41">
        <v>1810</v>
      </c>
      <c r="C25" s="4">
        <v>4451273</v>
      </c>
      <c r="D25" s="32">
        <v>2459.27</v>
      </c>
      <c r="E25" s="32">
        <v>77.18</v>
      </c>
      <c r="F25" s="8">
        <v>13</v>
      </c>
      <c r="G25" s="129">
        <v>1424399.34</v>
      </c>
      <c r="H25" s="41">
        <v>209559.25</v>
      </c>
      <c r="I25" s="41">
        <v>22364.7</v>
      </c>
      <c r="J25" s="41">
        <v>0</v>
      </c>
      <c r="K25" s="41">
        <v>59000</v>
      </c>
      <c r="L25" s="41">
        <v>0</v>
      </c>
      <c r="M25" s="41">
        <f t="shared" si="0"/>
        <v>59000</v>
      </c>
      <c r="N25" s="41">
        <v>0</v>
      </c>
      <c r="O25" s="41">
        <v>421495.65</v>
      </c>
      <c r="P25" s="41">
        <v>11383.5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63"/>
        <v>0</v>
      </c>
      <c r="X25" s="41">
        <v>0</v>
      </c>
      <c r="Y25" s="41">
        <f t="shared" si="64"/>
        <v>2148202.44</v>
      </c>
      <c r="Z25" s="41">
        <v>643694.9</v>
      </c>
      <c r="AA25" s="41">
        <v>8761.7</v>
      </c>
      <c r="AB25" s="41">
        <v>0</v>
      </c>
      <c r="AC25" s="41">
        <v>10656.85</v>
      </c>
      <c r="AD25" s="41">
        <v>0</v>
      </c>
      <c r="AE25" s="41">
        <f t="shared" si="65"/>
        <v>663113.45</v>
      </c>
      <c r="AF25" s="41">
        <v>0</v>
      </c>
      <c r="AG25" s="41">
        <v>40.45</v>
      </c>
      <c r="AH25" s="41">
        <v>0</v>
      </c>
      <c r="AI25" s="41">
        <v>26097.65</v>
      </c>
      <c r="AJ25" s="41">
        <v>745355.05</v>
      </c>
      <c r="AK25" s="41">
        <v>2000</v>
      </c>
      <c r="AL25" s="41">
        <v>593675.4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6"/>
        <v>0</v>
      </c>
      <c r="AT25" s="4">
        <v>0</v>
      </c>
      <c r="AU25" s="4">
        <f t="shared" si="67"/>
        <v>2030281.9999999998</v>
      </c>
      <c r="AV25" s="4">
        <v>0</v>
      </c>
      <c r="AW25" s="4">
        <v>117920.44</v>
      </c>
      <c r="AX25" s="4">
        <f t="shared" si="68"/>
        <v>1.7462298274040222E-10</v>
      </c>
      <c r="AY25" s="41">
        <v>0</v>
      </c>
      <c r="AZ25" s="41">
        <v>770186.9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9"/>
        <v>770186.9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349426.7</v>
      </c>
      <c r="BN25" s="41">
        <v>0</v>
      </c>
      <c r="BO25" s="41">
        <f t="shared" si="70"/>
        <v>349426.7</v>
      </c>
      <c r="BP25" s="41">
        <v>349426.7</v>
      </c>
      <c r="BQ25" s="41">
        <v>0</v>
      </c>
      <c r="BR25" s="41">
        <v>770186.9</v>
      </c>
      <c r="BS25" s="41">
        <f t="shared" si="71"/>
        <v>0</v>
      </c>
      <c r="BT25" s="4">
        <v>1177756</v>
      </c>
      <c r="BU25" s="4">
        <v>987121.35</v>
      </c>
      <c r="BV25" s="4">
        <v>0</v>
      </c>
      <c r="BW25" s="4">
        <v>117920.44</v>
      </c>
      <c r="BX25" s="4">
        <f t="shared" si="72"/>
        <v>2282797.79</v>
      </c>
      <c r="BY25" s="4">
        <v>2282797.79</v>
      </c>
      <c r="BZ25" s="4">
        <v>0</v>
      </c>
      <c r="CA25" s="4">
        <v>0</v>
      </c>
      <c r="CB25" s="4">
        <f t="shared" si="73"/>
        <v>2282797.79</v>
      </c>
      <c r="CC25" s="4">
        <f t="shared" si="74"/>
        <v>0</v>
      </c>
      <c r="CD25" s="70">
        <f t="shared" si="75"/>
        <v>-58920.44</v>
      </c>
      <c r="CE25" s="72">
        <f t="shared" si="76"/>
        <v>-58920.44</v>
      </c>
      <c r="CF25" s="72">
        <f t="shared" si="77"/>
        <v>420760.2</v>
      </c>
      <c r="CG25" s="72">
        <f t="shared" si="35"/>
        <v>2030281.9999999998</v>
      </c>
      <c r="CH25" s="72">
        <f t="shared" si="78"/>
        <v>22324.25</v>
      </c>
      <c r="CI25" s="35">
        <f t="shared" si="79"/>
        <v>81324.25</v>
      </c>
      <c r="CJ25" s="57">
        <f t="shared" si="36"/>
        <v>-0.14003330162881375</v>
      </c>
      <c r="CK25" s="57">
        <f t="shared" si="37"/>
        <v>-0.14003330162881375</v>
      </c>
      <c r="CL25" s="148">
        <f t="shared" si="38"/>
        <v>-0.029020815827554995</v>
      </c>
      <c r="CM25" s="148">
        <f t="shared" si="39"/>
        <v>-0.029020815827554995</v>
      </c>
      <c r="CN25" s="148">
        <f t="shared" si="40"/>
        <v>0.010995640014539853</v>
      </c>
      <c r="CO25" s="148">
        <f t="shared" si="41"/>
        <v>0.040055642516655325</v>
      </c>
      <c r="CP25" s="148">
        <f t="shared" si="42"/>
        <v>0.056398810711587144</v>
      </c>
      <c r="CQ25" s="148">
        <f t="shared" si="43"/>
        <v>0.056398810711587144</v>
      </c>
      <c r="CR25" s="149">
        <f t="shared" si="44"/>
        <v>18.754812251911222</v>
      </c>
      <c r="CS25" s="72">
        <f t="shared" si="45"/>
        <v>-1105041.79</v>
      </c>
      <c r="CT25" s="76">
        <f t="shared" si="80"/>
        <v>2089202.44</v>
      </c>
      <c r="CU25" s="76">
        <f t="shared" si="81"/>
        <v>2030281.9999999998</v>
      </c>
      <c r="CV25" s="76">
        <f t="shared" si="82"/>
        <v>-58920.44000000018</v>
      </c>
      <c r="CW25" s="76">
        <f t="shared" si="83"/>
        <v>0</v>
      </c>
      <c r="CX25" s="76">
        <f t="shared" si="84"/>
        <v>-58920.44000000018</v>
      </c>
      <c r="CY25" s="76">
        <f t="shared" si="85"/>
        <v>-117920.44000000018</v>
      </c>
      <c r="CZ25" s="76">
        <f t="shared" si="86"/>
        <v>420760.2</v>
      </c>
      <c r="DA25" s="76">
        <f t="shared" si="87"/>
        <v>59000</v>
      </c>
      <c r="DB25" s="76">
        <f t="shared" si="88"/>
        <v>-479680.6400000002</v>
      </c>
      <c r="DC25" s="76">
        <f t="shared" si="89"/>
        <v>-408426.7</v>
      </c>
      <c r="DD25" s="76">
        <f t="shared" si="90"/>
        <v>-117920.44000000018</v>
      </c>
      <c r="DE25" s="76">
        <f t="shared" si="91"/>
        <v>652456.6</v>
      </c>
      <c r="DF25" s="76">
        <f t="shared" si="92"/>
        <v>-610.5203259668508</v>
      </c>
      <c r="DG25" s="76">
        <f t="shared" si="93"/>
        <v>12.333839779005524</v>
      </c>
      <c r="DH25" s="76">
        <f t="shared" si="94"/>
        <v>360.47325966850826</v>
      </c>
      <c r="DI25" s="77">
        <f t="shared" si="95"/>
        <v>232.46419889502764</v>
      </c>
      <c r="DJ25" s="72">
        <f t="shared" si="96"/>
        <v>-265.01692817679566</v>
      </c>
      <c r="DK25" s="151">
        <f t="shared" si="46"/>
        <v>-1105041.79</v>
      </c>
      <c r="DL25" s="72">
        <v>39</v>
      </c>
      <c r="DM25" s="72">
        <v>172</v>
      </c>
      <c r="DN25" s="63">
        <v>0</v>
      </c>
    </row>
    <row r="26" spans="1:118" ht="12.75">
      <c r="A26" s="49" t="s">
        <v>17</v>
      </c>
      <c r="B26" s="40">
        <v>443</v>
      </c>
      <c r="C26" s="36">
        <v>1098547</v>
      </c>
      <c r="D26" s="37">
        <v>2479.79</v>
      </c>
      <c r="E26" s="37">
        <v>77.82</v>
      </c>
      <c r="F26" s="124">
        <v>10</v>
      </c>
      <c r="G26" s="130">
        <v>413452.1</v>
      </c>
      <c r="H26" s="40">
        <v>85018.09</v>
      </c>
      <c r="I26" s="40">
        <v>6278.1</v>
      </c>
      <c r="J26" s="40">
        <v>0</v>
      </c>
      <c r="K26" s="40">
        <v>72104.75</v>
      </c>
      <c r="L26" s="40">
        <v>0</v>
      </c>
      <c r="M26" s="41">
        <f t="shared" si="0"/>
        <v>72104.75</v>
      </c>
      <c r="N26" s="40">
        <v>0</v>
      </c>
      <c r="O26" s="40">
        <v>89582.75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63"/>
        <v>0</v>
      </c>
      <c r="X26" s="40">
        <v>0</v>
      </c>
      <c r="Y26" s="41">
        <f t="shared" si="64"/>
        <v>666435.7899999999</v>
      </c>
      <c r="Z26" s="40">
        <v>136786.25</v>
      </c>
      <c r="AA26" s="40">
        <v>3254.9</v>
      </c>
      <c r="AB26" s="40">
        <v>0</v>
      </c>
      <c r="AC26" s="40">
        <v>1767.9</v>
      </c>
      <c r="AD26" s="40">
        <v>0</v>
      </c>
      <c r="AE26" s="41">
        <f t="shared" si="65"/>
        <v>141809.05</v>
      </c>
      <c r="AF26" s="40">
        <v>0</v>
      </c>
      <c r="AG26" s="40">
        <v>0</v>
      </c>
      <c r="AH26" s="40">
        <v>0</v>
      </c>
      <c r="AI26" s="40">
        <v>9478.95</v>
      </c>
      <c r="AJ26" s="40">
        <v>198324.3</v>
      </c>
      <c r="AK26" s="40">
        <v>27372.4</v>
      </c>
      <c r="AL26" s="40">
        <v>170198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6"/>
        <v>0</v>
      </c>
      <c r="AT26" s="36">
        <v>0</v>
      </c>
      <c r="AU26" s="4">
        <f t="shared" si="67"/>
        <v>547182.7</v>
      </c>
      <c r="AV26" s="36">
        <v>0</v>
      </c>
      <c r="AW26" s="36">
        <v>119253.09</v>
      </c>
      <c r="AX26" s="4">
        <f t="shared" si="68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9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70"/>
        <v>0</v>
      </c>
      <c r="BP26" s="40">
        <v>0</v>
      </c>
      <c r="BQ26" s="40">
        <v>0</v>
      </c>
      <c r="BR26" s="40">
        <v>0</v>
      </c>
      <c r="BS26" s="41">
        <f t="shared" si="71"/>
        <v>0</v>
      </c>
      <c r="BT26" s="36">
        <v>155695.64</v>
      </c>
      <c r="BU26" s="36">
        <v>330001</v>
      </c>
      <c r="BV26" s="36">
        <v>0</v>
      </c>
      <c r="BW26" s="36">
        <v>124001.41</v>
      </c>
      <c r="BX26" s="4">
        <f t="shared" si="72"/>
        <v>609698.05</v>
      </c>
      <c r="BY26" s="36">
        <v>609698.05</v>
      </c>
      <c r="BZ26" s="36">
        <v>0</v>
      </c>
      <c r="CA26" s="36">
        <v>0</v>
      </c>
      <c r="CB26" s="4">
        <f t="shared" si="73"/>
        <v>609698.05</v>
      </c>
      <c r="CC26" s="4">
        <f t="shared" si="74"/>
        <v>0</v>
      </c>
      <c r="CD26" s="70">
        <f t="shared" si="75"/>
        <v>-47148.34</v>
      </c>
      <c r="CE26" s="72">
        <f t="shared" si="76"/>
        <v>-47148.34</v>
      </c>
      <c r="CF26" s="72">
        <f t="shared" si="77"/>
        <v>0</v>
      </c>
      <c r="CG26" s="72">
        <f t="shared" si="35"/>
        <v>547182.7</v>
      </c>
      <c r="CH26" s="72">
        <f t="shared" si="78"/>
        <v>6278.1</v>
      </c>
      <c r="CI26" s="35">
        <f t="shared" si="79"/>
        <v>78382.85</v>
      </c>
      <c r="CJ26" s="57" t="str">
        <f t="shared" si="36"/>
        <v>-</v>
      </c>
      <c r="CK26" s="57" t="str">
        <f t="shared" si="37"/>
        <v>-</v>
      </c>
      <c r="CL26" s="148">
        <f t="shared" si="38"/>
        <v>-0.0861656262158873</v>
      </c>
      <c r="CM26" s="148">
        <f t="shared" si="39"/>
        <v>-0.0861656262158873</v>
      </c>
      <c r="CN26" s="148">
        <f t="shared" si="40"/>
        <v>0.01147349870527705</v>
      </c>
      <c r="CO26" s="148">
        <f t="shared" si="41"/>
        <v>0.143248041284931</v>
      </c>
      <c r="CP26" s="148">
        <f t="shared" si="42"/>
        <v>0.17931787844366812</v>
      </c>
      <c r="CQ26" s="148">
        <f t="shared" si="43"/>
        <v>0.17931787844366812</v>
      </c>
      <c r="CR26" s="149">
        <f t="shared" si="44"/>
        <v>9.629234242393265</v>
      </c>
      <c r="CS26" s="72">
        <f t="shared" si="45"/>
        <v>-454002.41000000003</v>
      </c>
      <c r="CT26" s="76">
        <f t="shared" si="80"/>
        <v>594331.0399999999</v>
      </c>
      <c r="CU26" s="76">
        <f t="shared" si="81"/>
        <v>547182.7</v>
      </c>
      <c r="CV26" s="76">
        <f t="shared" si="82"/>
        <v>-47148.33999999997</v>
      </c>
      <c r="CW26" s="76">
        <f t="shared" si="83"/>
        <v>0</v>
      </c>
      <c r="CX26" s="76">
        <f t="shared" si="84"/>
        <v>-47148.33999999997</v>
      </c>
      <c r="CY26" s="76">
        <f t="shared" si="85"/>
        <v>-119253.08999999997</v>
      </c>
      <c r="CZ26" s="76">
        <f t="shared" si="86"/>
        <v>0</v>
      </c>
      <c r="DA26" s="76">
        <f t="shared" si="87"/>
        <v>72104.75</v>
      </c>
      <c r="DB26" s="76">
        <f t="shared" si="88"/>
        <v>-47148.33999999997</v>
      </c>
      <c r="DC26" s="76">
        <f t="shared" si="89"/>
        <v>-72104.75</v>
      </c>
      <c r="DD26" s="76">
        <f t="shared" si="90"/>
        <v>-119253.08999999997</v>
      </c>
      <c r="DE26" s="76">
        <f t="shared" si="91"/>
        <v>140041.15</v>
      </c>
      <c r="DF26" s="76">
        <f t="shared" si="92"/>
        <v>-1024.8361399548533</v>
      </c>
      <c r="DG26" s="76">
        <f t="shared" si="93"/>
        <v>14.171783295711062</v>
      </c>
      <c r="DH26" s="76">
        <f t="shared" si="94"/>
        <v>316.1199774266366</v>
      </c>
      <c r="DI26" s="77">
        <f t="shared" si="95"/>
        <v>0</v>
      </c>
      <c r="DJ26" s="72">
        <f t="shared" si="96"/>
        <v>-106.42966139954846</v>
      </c>
      <c r="DK26" s="151">
        <f t="shared" si="46"/>
        <v>-454002.41000000003</v>
      </c>
      <c r="DL26" s="136">
        <v>10</v>
      </c>
      <c r="DM26" s="136">
        <v>51</v>
      </c>
      <c r="DN26" s="65">
        <v>0</v>
      </c>
    </row>
    <row r="27" spans="1:118" ht="12.75">
      <c r="A27" s="50" t="s">
        <v>18</v>
      </c>
      <c r="B27" s="41">
        <v>635</v>
      </c>
      <c r="C27" s="4">
        <v>1743748</v>
      </c>
      <c r="D27" s="32">
        <v>2746.06</v>
      </c>
      <c r="E27" s="32">
        <v>86.18</v>
      </c>
      <c r="F27" s="8">
        <v>14</v>
      </c>
      <c r="G27" s="129">
        <f>(G42/($B$11+$B$27)*$B$27)</f>
        <v>493149.8228661493</v>
      </c>
      <c r="H27" s="129">
        <f aca="true" t="shared" si="101" ref="H27:BU27">(H42/($B$11+$B$27)*$B$27)</f>
        <v>108155.55379081797</v>
      </c>
      <c r="I27" s="129">
        <f t="shared" si="101"/>
        <v>38956.767539605564</v>
      </c>
      <c r="J27" s="129">
        <f t="shared" si="101"/>
        <v>0</v>
      </c>
      <c r="K27" s="129">
        <f t="shared" si="101"/>
        <v>68111.83891044294</v>
      </c>
      <c r="L27" s="129">
        <f t="shared" si="101"/>
        <v>0</v>
      </c>
      <c r="M27" s="41">
        <f t="shared" si="0"/>
        <v>68111.83891044294</v>
      </c>
      <c r="N27" s="129">
        <f t="shared" si="101"/>
        <v>0</v>
      </c>
      <c r="O27" s="129">
        <f t="shared" si="101"/>
        <v>182821.29894115744</v>
      </c>
      <c r="P27" s="129">
        <f t="shared" si="101"/>
        <v>0</v>
      </c>
      <c r="Q27" s="129">
        <f t="shared" si="101"/>
        <v>0</v>
      </c>
      <c r="R27" s="129">
        <f t="shared" si="101"/>
        <v>0</v>
      </c>
      <c r="S27" s="129">
        <f t="shared" si="101"/>
        <v>0</v>
      </c>
      <c r="T27" s="129">
        <f t="shared" si="101"/>
        <v>0</v>
      </c>
      <c r="U27" s="129">
        <f t="shared" si="101"/>
        <v>0</v>
      </c>
      <c r="V27" s="129">
        <f t="shared" si="101"/>
        <v>0</v>
      </c>
      <c r="W27" s="41">
        <f t="shared" si="63"/>
        <v>0</v>
      </c>
      <c r="X27" s="129">
        <f t="shared" si="101"/>
        <v>0</v>
      </c>
      <c r="Y27" s="41">
        <f t="shared" si="64"/>
        <v>891195.2820481731</v>
      </c>
      <c r="Z27" s="129">
        <f t="shared" si="101"/>
        <v>411964.13874070486</v>
      </c>
      <c r="AA27" s="129">
        <f t="shared" si="101"/>
        <v>22204.25420303912</v>
      </c>
      <c r="AB27" s="129">
        <f t="shared" si="101"/>
        <v>0</v>
      </c>
      <c r="AC27" s="129">
        <f t="shared" si="101"/>
        <v>3522.9052699644353</v>
      </c>
      <c r="AD27" s="129">
        <f t="shared" si="101"/>
        <v>0</v>
      </c>
      <c r="AE27" s="41">
        <f t="shared" si="65"/>
        <v>437691.2982137084</v>
      </c>
      <c r="AF27" s="129">
        <f t="shared" si="101"/>
        <v>0</v>
      </c>
      <c r="AG27" s="129">
        <f t="shared" si="101"/>
        <v>23621.573997736825</v>
      </c>
      <c r="AH27" s="129">
        <f t="shared" si="101"/>
        <v>0</v>
      </c>
      <c r="AI27" s="129">
        <f t="shared" si="101"/>
        <v>22109.994786614938</v>
      </c>
      <c r="AJ27" s="129">
        <f t="shared" si="101"/>
        <v>174042.52659230522</v>
      </c>
      <c r="AK27" s="129">
        <f t="shared" si="101"/>
        <v>6573.286776592305</v>
      </c>
      <c r="AL27" s="129">
        <f t="shared" si="101"/>
        <v>188981.90244099582</v>
      </c>
      <c r="AM27" s="129">
        <f t="shared" si="101"/>
        <v>0</v>
      </c>
      <c r="AN27" s="129">
        <f t="shared" si="101"/>
        <v>0</v>
      </c>
      <c r="AO27" s="129">
        <f t="shared" si="101"/>
        <v>0</v>
      </c>
      <c r="AP27" s="129">
        <f t="shared" si="101"/>
        <v>0</v>
      </c>
      <c r="AQ27" s="129">
        <f t="shared" si="101"/>
        <v>0</v>
      </c>
      <c r="AR27" s="129">
        <f t="shared" si="101"/>
        <v>0</v>
      </c>
      <c r="AS27" s="4">
        <f t="shared" si="66"/>
        <v>0</v>
      </c>
      <c r="AT27" s="129">
        <f t="shared" si="101"/>
        <v>13070.262689945037</v>
      </c>
      <c r="AU27" s="4">
        <f t="shared" si="67"/>
        <v>866090.8454978985</v>
      </c>
      <c r="AV27" s="129">
        <f t="shared" si="101"/>
        <v>0</v>
      </c>
      <c r="AW27" s="129">
        <f t="shared" si="101"/>
        <v>25104.436550274815</v>
      </c>
      <c r="AX27" s="4">
        <f t="shared" si="68"/>
        <v>-2.0736479200422764E-10</v>
      </c>
      <c r="AY27" s="129">
        <f t="shared" si="101"/>
        <v>0</v>
      </c>
      <c r="AZ27" s="129">
        <f t="shared" si="101"/>
        <v>3584.4497655997416</v>
      </c>
      <c r="BA27" s="129">
        <f t="shared" si="101"/>
        <v>6060.729065632072</v>
      </c>
      <c r="BB27" s="129">
        <f t="shared" si="101"/>
        <v>0</v>
      </c>
      <c r="BC27" s="129">
        <f t="shared" si="101"/>
        <v>0</v>
      </c>
      <c r="BD27" s="129">
        <f t="shared" si="101"/>
        <v>0</v>
      </c>
      <c r="BE27" s="129">
        <f t="shared" si="101"/>
        <v>0</v>
      </c>
      <c r="BF27" s="41">
        <f t="shared" si="69"/>
        <v>9645.178831231813</v>
      </c>
      <c r="BG27" s="129">
        <f t="shared" si="101"/>
        <v>0</v>
      </c>
      <c r="BH27" s="129">
        <f t="shared" si="101"/>
        <v>0</v>
      </c>
      <c r="BI27" s="129">
        <f t="shared" si="101"/>
        <v>0</v>
      </c>
      <c r="BJ27" s="129">
        <f t="shared" si="101"/>
        <v>0</v>
      </c>
      <c r="BK27" s="129">
        <f t="shared" si="101"/>
        <v>1185.7234076947948</v>
      </c>
      <c r="BL27" s="129">
        <f t="shared" si="101"/>
        <v>0</v>
      </c>
      <c r="BM27" s="129">
        <f t="shared" si="101"/>
        <v>0</v>
      </c>
      <c r="BN27" s="129">
        <f t="shared" si="101"/>
        <v>0</v>
      </c>
      <c r="BO27" s="41">
        <f t="shared" si="70"/>
        <v>1185.7234076947948</v>
      </c>
      <c r="BP27" s="129">
        <f t="shared" si="101"/>
        <v>1185.7234076947948</v>
      </c>
      <c r="BQ27" s="129">
        <f t="shared" si="101"/>
        <v>0</v>
      </c>
      <c r="BR27" s="129">
        <f t="shared" si="101"/>
        <v>9645.178831231813</v>
      </c>
      <c r="BS27" s="41">
        <f t="shared" si="71"/>
        <v>0</v>
      </c>
      <c r="BT27" s="129">
        <f t="shared" si="101"/>
        <v>672445.0138215325</v>
      </c>
      <c r="BU27" s="129">
        <f t="shared" si="101"/>
        <v>766295.5553265439</v>
      </c>
      <c r="BV27" s="129">
        <f aca="true" t="shared" si="102" ref="BV27:CA27">(BV42/($B$11+$B$27)*$B$27)</f>
        <v>0</v>
      </c>
      <c r="BW27" s="129">
        <f t="shared" si="102"/>
        <v>0</v>
      </c>
      <c r="BX27" s="4">
        <f t="shared" si="72"/>
        <v>1438740.5691480762</v>
      </c>
      <c r="BY27" s="129">
        <f t="shared" si="102"/>
        <v>1389771.8553588747</v>
      </c>
      <c r="BZ27" s="129">
        <f t="shared" si="102"/>
        <v>0</v>
      </c>
      <c r="CA27" s="129">
        <f t="shared" si="102"/>
        <v>48968.71378920142</v>
      </c>
      <c r="CB27" s="4">
        <f t="shared" si="73"/>
        <v>1438740.569148076</v>
      </c>
      <c r="CC27" s="4">
        <f t="shared" si="74"/>
        <v>0</v>
      </c>
      <c r="CD27" s="70">
        <f t="shared" si="75"/>
        <v>43007.402360168126</v>
      </c>
      <c r="CE27" s="72">
        <f t="shared" si="76"/>
        <v>43007.402360168126</v>
      </c>
      <c r="CF27" s="72">
        <f t="shared" si="77"/>
        <v>8459.455423537018</v>
      </c>
      <c r="CG27" s="72">
        <f t="shared" si="35"/>
        <v>853020.5828079535</v>
      </c>
      <c r="CH27" s="72">
        <f t="shared" si="78"/>
        <v>15335.193541868739</v>
      </c>
      <c r="CI27" s="35">
        <f t="shared" si="79"/>
        <v>83447.03245231167</v>
      </c>
      <c r="CJ27" s="57">
        <f t="shared" si="36"/>
        <v>5.083944557531119</v>
      </c>
      <c r="CK27" s="57">
        <f t="shared" si="37"/>
        <v>5.083944557531119</v>
      </c>
      <c r="CL27" s="148">
        <f t="shared" si="38"/>
        <v>0.05041777798443896</v>
      </c>
      <c r="CM27" s="148">
        <f t="shared" si="39"/>
        <v>0.05041777798443896</v>
      </c>
      <c r="CN27" s="148">
        <f t="shared" si="40"/>
        <v>0.0179775187738011</v>
      </c>
      <c r="CO27" s="148">
        <f t="shared" si="41"/>
        <v>0.0978253445862029</v>
      </c>
      <c r="CP27" s="148">
        <f t="shared" si="42"/>
        <v>0.08162899727503846</v>
      </c>
      <c r="CQ27" s="148">
        <f t="shared" si="43"/>
        <v>0.08162899727503846</v>
      </c>
      <c r="CR27" s="149">
        <f t="shared" si="44"/>
        <v>-16.679148290102354</v>
      </c>
      <c r="CS27" s="72">
        <f t="shared" si="45"/>
        <v>-717326.8415373422</v>
      </c>
      <c r="CT27" s="76">
        <f t="shared" si="80"/>
        <v>823083.4431377302</v>
      </c>
      <c r="CU27" s="76">
        <f t="shared" si="81"/>
        <v>866090.8454978985</v>
      </c>
      <c r="CV27" s="76">
        <f t="shared" si="82"/>
        <v>43007.402360168286</v>
      </c>
      <c r="CW27" s="76">
        <f t="shared" si="83"/>
        <v>0</v>
      </c>
      <c r="CX27" s="76">
        <f t="shared" si="84"/>
        <v>43007.402360168286</v>
      </c>
      <c r="CY27" s="76">
        <f t="shared" si="85"/>
        <v>-25104.43655027465</v>
      </c>
      <c r="CZ27" s="76">
        <f t="shared" si="86"/>
        <v>8459.455423537018</v>
      </c>
      <c r="DA27" s="76">
        <f t="shared" si="87"/>
        <v>68111.83891044294</v>
      </c>
      <c r="DB27" s="76">
        <f t="shared" si="88"/>
        <v>34547.94693663127</v>
      </c>
      <c r="DC27" s="76">
        <f t="shared" si="89"/>
        <v>-69297.56231813773</v>
      </c>
      <c r="DD27" s="76">
        <f t="shared" si="90"/>
        <v>-25104.436550274648</v>
      </c>
      <c r="DE27" s="76">
        <f t="shared" si="91"/>
        <v>434168.39294374397</v>
      </c>
      <c r="DF27" s="76">
        <f t="shared" si="92"/>
        <v>-1129.6485693501452</v>
      </c>
      <c r="DG27" s="76">
        <f t="shared" si="93"/>
        <v>24.14991108955707</v>
      </c>
      <c r="DH27" s="76">
        <f t="shared" si="94"/>
        <v>683.7297526673133</v>
      </c>
      <c r="DI27" s="77">
        <f t="shared" si="95"/>
        <v>13.321977044940185</v>
      </c>
      <c r="DJ27" s="72">
        <f t="shared" si="96"/>
        <v>54.406215648238216</v>
      </c>
      <c r="DK27" s="151">
        <f t="shared" si="46"/>
        <v>-717326.8415373424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0">
        <v>420</v>
      </c>
      <c r="C28" s="36">
        <v>803824</v>
      </c>
      <c r="D28" s="37">
        <v>1913.87</v>
      </c>
      <c r="E28" s="37">
        <v>60.06</v>
      </c>
      <c r="F28" s="124">
        <v>11</v>
      </c>
      <c r="G28" s="130">
        <v>196944</v>
      </c>
      <c r="H28" s="40">
        <v>38991</v>
      </c>
      <c r="I28" s="40">
        <v>32568</v>
      </c>
      <c r="J28" s="40">
        <v>0</v>
      </c>
      <c r="K28" s="40">
        <v>82999</v>
      </c>
      <c r="L28" s="40">
        <v>0</v>
      </c>
      <c r="M28" s="41">
        <f t="shared" si="0"/>
        <v>82999</v>
      </c>
      <c r="N28" s="40">
        <v>0</v>
      </c>
      <c r="O28" s="40">
        <v>272710</v>
      </c>
      <c r="P28" s="40">
        <v>2072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63"/>
        <v>0</v>
      </c>
      <c r="X28" s="40">
        <v>900</v>
      </c>
      <c r="Y28" s="41">
        <f t="shared" si="64"/>
        <v>627184</v>
      </c>
      <c r="Z28" s="40">
        <v>96981</v>
      </c>
      <c r="AA28" s="40">
        <v>0</v>
      </c>
      <c r="AB28" s="40">
        <v>0</v>
      </c>
      <c r="AC28" s="40">
        <v>0</v>
      </c>
      <c r="AD28" s="40">
        <v>0</v>
      </c>
      <c r="AE28" s="41">
        <f t="shared" si="65"/>
        <v>96981</v>
      </c>
      <c r="AF28" s="40">
        <v>0</v>
      </c>
      <c r="AG28" s="40">
        <v>13</v>
      </c>
      <c r="AH28" s="40">
        <v>0</v>
      </c>
      <c r="AI28" s="40">
        <v>32603</v>
      </c>
      <c r="AJ28" s="40">
        <v>56427</v>
      </c>
      <c r="AK28" s="40">
        <v>154152</v>
      </c>
      <c r="AL28" s="40">
        <v>130285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6"/>
        <v>0</v>
      </c>
      <c r="AT28" s="36">
        <v>900</v>
      </c>
      <c r="AU28" s="4">
        <f t="shared" si="67"/>
        <v>471361</v>
      </c>
      <c r="AV28" s="36">
        <v>0</v>
      </c>
      <c r="AW28" s="36">
        <v>155823</v>
      </c>
      <c r="AX28" s="4">
        <f t="shared" si="68"/>
        <v>0</v>
      </c>
      <c r="AY28" s="40">
        <v>0</v>
      </c>
      <c r="AZ28" s="40">
        <v>5911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9"/>
        <v>5911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5361</v>
      </c>
      <c r="BN28" s="40">
        <v>0</v>
      </c>
      <c r="BO28" s="41">
        <f t="shared" si="70"/>
        <v>5361</v>
      </c>
      <c r="BP28" s="40">
        <v>5361</v>
      </c>
      <c r="BQ28" s="40">
        <v>0</v>
      </c>
      <c r="BR28" s="40">
        <v>5911</v>
      </c>
      <c r="BS28" s="41">
        <f t="shared" si="71"/>
        <v>0</v>
      </c>
      <c r="BT28" s="36">
        <v>374212</v>
      </c>
      <c r="BU28" s="36">
        <v>821404</v>
      </c>
      <c r="BV28" s="36">
        <v>0</v>
      </c>
      <c r="BW28" s="36">
        <v>0</v>
      </c>
      <c r="BX28" s="4">
        <f t="shared" si="72"/>
        <v>1195616</v>
      </c>
      <c r="BY28" s="36">
        <v>1119007</v>
      </c>
      <c r="BZ28" s="36">
        <v>0</v>
      </c>
      <c r="CA28" s="36">
        <v>76609</v>
      </c>
      <c r="CB28" s="4">
        <f t="shared" si="73"/>
        <v>1195616</v>
      </c>
      <c r="CC28" s="4">
        <f t="shared" si="74"/>
        <v>0</v>
      </c>
      <c r="CD28" s="70">
        <f t="shared" si="75"/>
        <v>-72824</v>
      </c>
      <c r="CE28" s="72">
        <f t="shared" si="76"/>
        <v>-72824</v>
      </c>
      <c r="CF28" s="72">
        <f t="shared" si="77"/>
        <v>550</v>
      </c>
      <c r="CG28" s="72">
        <f t="shared" si="35"/>
        <v>470461</v>
      </c>
      <c r="CH28" s="72">
        <f t="shared" si="78"/>
        <v>32555</v>
      </c>
      <c r="CI28" s="35">
        <f t="shared" si="79"/>
        <v>115554</v>
      </c>
      <c r="CJ28" s="57">
        <f t="shared" si="36"/>
        <v>-132.40727272727273</v>
      </c>
      <c r="CK28" s="57">
        <f t="shared" si="37"/>
        <v>-132.40727272727273</v>
      </c>
      <c r="CL28" s="148">
        <f t="shared" si="38"/>
        <v>-0.15479285211739124</v>
      </c>
      <c r="CM28" s="148">
        <f t="shared" si="39"/>
        <v>-0.15479285211739124</v>
      </c>
      <c r="CN28" s="148">
        <f t="shared" si="40"/>
        <v>0.06919808443207832</v>
      </c>
      <c r="CO28" s="148">
        <f t="shared" si="41"/>
        <v>0.24561865914496633</v>
      </c>
      <c r="CP28" s="148">
        <f t="shared" si="42"/>
        <v>0.09177214140156545</v>
      </c>
      <c r="CQ28" s="148">
        <f t="shared" si="43"/>
        <v>0.09177214140156545</v>
      </c>
      <c r="CR28" s="149">
        <f t="shared" si="44"/>
        <v>10.227328902559595</v>
      </c>
      <c r="CS28" s="72">
        <f t="shared" si="45"/>
        <v>-744795</v>
      </c>
      <c r="CT28" s="76">
        <f t="shared" si="80"/>
        <v>544185</v>
      </c>
      <c r="CU28" s="76">
        <f t="shared" si="81"/>
        <v>471361</v>
      </c>
      <c r="CV28" s="76">
        <f t="shared" si="82"/>
        <v>-72824</v>
      </c>
      <c r="CW28" s="76">
        <f t="shared" si="83"/>
        <v>0</v>
      </c>
      <c r="CX28" s="76">
        <f t="shared" si="84"/>
        <v>-72824</v>
      </c>
      <c r="CY28" s="76">
        <f t="shared" si="85"/>
        <v>-155823</v>
      </c>
      <c r="CZ28" s="76">
        <f t="shared" si="86"/>
        <v>550</v>
      </c>
      <c r="DA28" s="76">
        <f t="shared" si="87"/>
        <v>82999</v>
      </c>
      <c r="DB28" s="76">
        <f t="shared" si="88"/>
        <v>-73374</v>
      </c>
      <c r="DC28" s="76">
        <f t="shared" si="89"/>
        <v>-88360</v>
      </c>
      <c r="DD28" s="76">
        <f t="shared" si="90"/>
        <v>-155823</v>
      </c>
      <c r="DE28" s="76">
        <f t="shared" si="91"/>
        <v>96981</v>
      </c>
      <c r="DF28" s="76">
        <f t="shared" si="92"/>
        <v>-1773.3214285714287</v>
      </c>
      <c r="DG28" s="76">
        <f t="shared" si="93"/>
        <v>77.51190476190476</v>
      </c>
      <c r="DH28" s="76">
        <f t="shared" si="94"/>
        <v>230.90714285714284</v>
      </c>
      <c r="DI28" s="77">
        <f t="shared" si="95"/>
        <v>1.3095238095238095</v>
      </c>
      <c r="DJ28" s="72">
        <f t="shared" si="96"/>
        <v>-174.7</v>
      </c>
      <c r="DK28" s="151">
        <f t="shared" si="46"/>
        <v>-744795</v>
      </c>
      <c r="DL28" s="136">
        <v>14</v>
      </c>
      <c r="DM28" s="136">
        <v>36</v>
      </c>
      <c r="DN28" s="65">
        <v>0</v>
      </c>
    </row>
    <row r="29" spans="1:118" ht="12.75">
      <c r="A29" s="50" t="s">
        <v>21</v>
      </c>
      <c r="B29" s="41">
        <v>2584</v>
      </c>
      <c r="C29" s="4">
        <v>8646121</v>
      </c>
      <c r="D29" s="32">
        <v>3346.02</v>
      </c>
      <c r="E29" s="32">
        <v>105.01</v>
      </c>
      <c r="F29" s="8">
        <v>10</v>
      </c>
      <c r="G29" s="129">
        <v>4422834.05</v>
      </c>
      <c r="H29" s="41">
        <v>717637.6</v>
      </c>
      <c r="I29" s="41">
        <v>94686.9</v>
      </c>
      <c r="J29" s="41">
        <v>0</v>
      </c>
      <c r="K29" s="41">
        <v>197375</v>
      </c>
      <c r="L29" s="41">
        <v>0</v>
      </c>
      <c r="M29" s="41">
        <f t="shared" si="0"/>
        <v>197375</v>
      </c>
      <c r="N29" s="41">
        <v>0</v>
      </c>
      <c r="O29" s="41">
        <v>289337.25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63"/>
        <v>0</v>
      </c>
      <c r="X29" s="41">
        <v>815280.05</v>
      </c>
      <c r="Y29" s="41">
        <f t="shared" si="64"/>
        <v>6537150.85</v>
      </c>
      <c r="Z29" s="41">
        <v>918668.9</v>
      </c>
      <c r="AA29" s="41">
        <v>216115.1</v>
      </c>
      <c r="AB29" s="41">
        <v>0</v>
      </c>
      <c r="AC29" s="41">
        <v>26051.75</v>
      </c>
      <c r="AD29" s="41">
        <v>0</v>
      </c>
      <c r="AE29" s="41">
        <f t="shared" si="65"/>
        <v>1160835.75</v>
      </c>
      <c r="AF29" s="41">
        <v>0</v>
      </c>
      <c r="AG29" s="41">
        <v>17157.55</v>
      </c>
      <c r="AH29" s="41">
        <v>0</v>
      </c>
      <c r="AI29" s="41">
        <v>9212.85</v>
      </c>
      <c r="AJ29" s="41">
        <v>1621429.2</v>
      </c>
      <c r="AK29" s="41">
        <v>701276.35</v>
      </c>
      <c r="AL29" s="41">
        <v>1911352.7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6"/>
        <v>0</v>
      </c>
      <c r="AT29" s="4">
        <v>815280.05</v>
      </c>
      <c r="AU29" s="4">
        <f t="shared" si="67"/>
        <v>6236544.449999999</v>
      </c>
      <c r="AV29" s="4">
        <v>0</v>
      </c>
      <c r="AW29" s="4">
        <v>300606.2</v>
      </c>
      <c r="AX29" s="4">
        <f t="shared" si="68"/>
        <v>0.2000000003608875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9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70"/>
        <v>0</v>
      </c>
      <c r="BP29" s="41">
        <v>0</v>
      </c>
      <c r="BQ29" s="41">
        <v>0</v>
      </c>
      <c r="BR29" s="41">
        <v>0</v>
      </c>
      <c r="BS29" s="41">
        <f t="shared" si="71"/>
        <v>0</v>
      </c>
      <c r="BT29" s="4">
        <v>2487927.01</v>
      </c>
      <c r="BU29" s="4">
        <v>2193331</v>
      </c>
      <c r="BV29" s="4">
        <v>0</v>
      </c>
      <c r="BW29" s="4">
        <v>0</v>
      </c>
      <c r="BX29" s="4">
        <f t="shared" si="72"/>
        <v>4681258.01</v>
      </c>
      <c r="BY29" s="4">
        <v>4358957.89</v>
      </c>
      <c r="BZ29" s="4">
        <v>0</v>
      </c>
      <c r="CA29" s="4">
        <v>322300.12</v>
      </c>
      <c r="CB29" s="4">
        <f t="shared" si="73"/>
        <v>4681258.01</v>
      </c>
      <c r="CC29" s="4">
        <f t="shared" si="74"/>
        <v>0</v>
      </c>
      <c r="CD29" s="70">
        <f t="shared" si="75"/>
        <v>-103231.20000000001</v>
      </c>
      <c r="CE29" s="72">
        <f t="shared" si="76"/>
        <v>-103231.20000000001</v>
      </c>
      <c r="CF29" s="72">
        <f t="shared" si="77"/>
        <v>0</v>
      </c>
      <c r="CG29" s="72">
        <f t="shared" si="35"/>
        <v>5421264.399999999</v>
      </c>
      <c r="CH29" s="72">
        <f t="shared" si="78"/>
        <v>77529.34999999999</v>
      </c>
      <c r="CI29" s="35">
        <f t="shared" si="79"/>
        <v>274904.35</v>
      </c>
      <c r="CJ29" s="57" t="str">
        <f t="shared" si="36"/>
        <v>-</v>
      </c>
      <c r="CK29" s="57" t="str">
        <f t="shared" si="37"/>
        <v>-</v>
      </c>
      <c r="CL29" s="148">
        <f t="shared" si="38"/>
        <v>-0.019041904689245562</v>
      </c>
      <c r="CM29" s="148">
        <f t="shared" si="39"/>
        <v>-0.019041904689245562</v>
      </c>
      <c r="CN29" s="148">
        <f t="shared" si="40"/>
        <v>0.014300971928246111</v>
      </c>
      <c r="CO29" s="148">
        <f t="shared" si="41"/>
        <v>0.05070853028308304</v>
      </c>
      <c r="CP29" s="148">
        <f t="shared" si="42"/>
        <v>0.08255929420012331</v>
      </c>
      <c r="CQ29" s="148">
        <f t="shared" si="43"/>
        <v>0.08255929420012331</v>
      </c>
      <c r="CR29" s="149">
        <f t="shared" si="44"/>
        <v>18.12466463627275</v>
      </c>
      <c r="CS29" s="72">
        <f t="shared" si="45"/>
        <v>-1871030.88</v>
      </c>
      <c r="CT29" s="76">
        <f t="shared" si="80"/>
        <v>6339775.85</v>
      </c>
      <c r="CU29" s="76">
        <f t="shared" si="81"/>
        <v>6236544.449999999</v>
      </c>
      <c r="CV29" s="76">
        <f t="shared" si="82"/>
        <v>-103231.40000000037</v>
      </c>
      <c r="CW29" s="76">
        <f t="shared" si="83"/>
        <v>0</v>
      </c>
      <c r="CX29" s="76">
        <f t="shared" si="84"/>
        <v>-103231.40000000037</v>
      </c>
      <c r="CY29" s="76">
        <f t="shared" si="85"/>
        <v>-300606.4000000004</v>
      </c>
      <c r="CZ29" s="76">
        <f t="shared" si="86"/>
        <v>0</v>
      </c>
      <c r="DA29" s="76">
        <f t="shared" si="87"/>
        <v>197375</v>
      </c>
      <c r="DB29" s="76">
        <f t="shared" si="88"/>
        <v>-103231.40000000037</v>
      </c>
      <c r="DC29" s="76">
        <f t="shared" si="89"/>
        <v>-197375</v>
      </c>
      <c r="DD29" s="76">
        <f t="shared" si="90"/>
        <v>-300606.4000000004</v>
      </c>
      <c r="DE29" s="76">
        <f t="shared" si="91"/>
        <v>1134784</v>
      </c>
      <c r="DF29" s="76">
        <f t="shared" si="92"/>
        <v>-724.0831578947368</v>
      </c>
      <c r="DG29" s="76">
        <f t="shared" si="93"/>
        <v>30.00361842105263</v>
      </c>
      <c r="DH29" s="76">
        <f t="shared" si="94"/>
        <v>439.1578947368421</v>
      </c>
      <c r="DI29" s="77">
        <f t="shared" si="95"/>
        <v>0</v>
      </c>
      <c r="DJ29" s="72">
        <f t="shared" si="96"/>
        <v>-39.95023219814256</v>
      </c>
      <c r="DK29" s="151">
        <f t="shared" si="46"/>
        <v>-1871030.88</v>
      </c>
      <c r="DL29" s="72">
        <v>59</v>
      </c>
      <c r="DM29" s="72">
        <v>385</v>
      </c>
      <c r="DN29" s="63">
        <v>0</v>
      </c>
    </row>
    <row r="30" spans="1:118" ht="12.75">
      <c r="A30" s="49" t="s">
        <v>31</v>
      </c>
      <c r="B30" s="40">
        <v>394</v>
      </c>
      <c r="C30" s="36">
        <v>962825</v>
      </c>
      <c r="D30" s="37">
        <v>2443.72</v>
      </c>
      <c r="E30" s="37">
        <v>76.69</v>
      </c>
      <c r="F30" s="124">
        <v>14</v>
      </c>
      <c r="G30" s="130">
        <v>467947.2</v>
      </c>
      <c r="H30" s="40">
        <v>102797.8</v>
      </c>
      <c r="I30" s="40">
        <v>28975.15</v>
      </c>
      <c r="J30" s="40">
        <v>0</v>
      </c>
      <c r="K30" s="40">
        <v>115211.75</v>
      </c>
      <c r="L30" s="40">
        <v>0</v>
      </c>
      <c r="M30" s="41">
        <f t="shared" si="0"/>
        <v>115211.75</v>
      </c>
      <c r="N30" s="40">
        <v>0</v>
      </c>
      <c r="O30" s="40">
        <v>92027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63"/>
        <v>0</v>
      </c>
      <c r="X30" s="40">
        <v>59605.15</v>
      </c>
      <c r="Y30" s="41">
        <f t="shared" si="64"/>
        <v>866564.05</v>
      </c>
      <c r="Z30" s="40">
        <v>231361.15</v>
      </c>
      <c r="AA30" s="40">
        <v>0</v>
      </c>
      <c r="AB30" s="40">
        <v>0</v>
      </c>
      <c r="AC30" s="40">
        <v>1695.5</v>
      </c>
      <c r="AD30" s="40">
        <v>0</v>
      </c>
      <c r="AE30" s="41">
        <f t="shared" si="65"/>
        <v>233056.65</v>
      </c>
      <c r="AF30" s="40">
        <v>0</v>
      </c>
      <c r="AG30" s="40">
        <v>3366.2</v>
      </c>
      <c r="AH30" s="40">
        <v>0</v>
      </c>
      <c r="AI30" s="40">
        <v>6502.8</v>
      </c>
      <c r="AJ30" s="40">
        <v>197425.2</v>
      </c>
      <c r="AK30" s="40">
        <v>0</v>
      </c>
      <c r="AL30" s="40">
        <v>201670.9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6"/>
        <v>0</v>
      </c>
      <c r="AT30" s="36">
        <v>59605.15</v>
      </c>
      <c r="AU30" s="4">
        <f t="shared" si="67"/>
        <v>701626.9</v>
      </c>
      <c r="AV30" s="36">
        <v>0</v>
      </c>
      <c r="AW30" s="36">
        <v>164937.15</v>
      </c>
      <c r="AX30" s="4">
        <f t="shared" si="68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9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70"/>
        <v>0</v>
      </c>
      <c r="BP30" s="40">
        <v>0</v>
      </c>
      <c r="BQ30" s="40">
        <v>0</v>
      </c>
      <c r="BR30" s="40">
        <v>0</v>
      </c>
      <c r="BS30" s="41">
        <f t="shared" si="71"/>
        <v>0</v>
      </c>
      <c r="BT30" s="36">
        <v>374349.7</v>
      </c>
      <c r="BU30" s="36">
        <v>372591.05</v>
      </c>
      <c r="BV30" s="36">
        <v>0</v>
      </c>
      <c r="BW30" s="36">
        <v>164937.15</v>
      </c>
      <c r="BX30" s="4">
        <f t="shared" si="72"/>
        <v>911877.9</v>
      </c>
      <c r="BY30" s="36">
        <v>898317.4</v>
      </c>
      <c r="BZ30" s="36">
        <v>0</v>
      </c>
      <c r="CA30" s="36">
        <v>13560.5</v>
      </c>
      <c r="CB30" s="4">
        <f t="shared" si="73"/>
        <v>911877.9</v>
      </c>
      <c r="CC30" s="4">
        <f t="shared" si="74"/>
        <v>0</v>
      </c>
      <c r="CD30" s="70">
        <f t="shared" si="75"/>
        <v>-49725.399999999994</v>
      </c>
      <c r="CE30" s="72">
        <f t="shared" si="76"/>
        <v>-49725.399999999994</v>
      </c>
      <c r="CF30" s="72">
        <f t="shared" si="77"/>
        <v>0</v>
      </c>
      <c r="CG30" s="72">
        <f t="shared" si="35"/>
        <v>642021.75</v>
      </c>
      <c r="CH30" s="72">
        <f t="shared" si="78"/>
        <v>25608.95</v>
      </c>
      <c r="CI30" s="35">
        <f t="shared" si="79"/>
        <v>140820.7</v>
      </c>
      <c r="CJ30" s="57" t="str">
        <f t="shared" si="36"/>
        <v>-</v>
      </c>
      <c r="CK30" s="57" t="str">
        <f t="shared" si="37"/>
        <v>-</v>
      </c>
      <c r="CL30" s="148">
        <f t="shared" si="38"/>
        <v>-0.07745127014777925</v>
      </c>
      <c r="CM30" s="148">
        <f t="shared" si="39"/>
        <v>-0.07745127014777925</v>
      </c>
      <c r="CN30" s="148">
        <f t="shared" si="40"/>
        <v>0.03988797887298989</v>
      </c>
      <c r="CO30" s="148">
        <f t="shared" si="41"/>
        <v>0.21933945384249057</v>
      </c>
      <c r="CP30" s="148">
        <f t="shared" si="42"/>
        <v>0.23618509364849896</v>
      </c>
      <c r="CQ30" s="148">
        <f t="shared" si="43"/>
        <v>0.23618509364849896</v>
      </c>
      <c r="CR30" s="149">
        <f t="shared" si="44"/>
        <v>10.537224436605841</v>
      </c>
      <c r="CS30" s="72">
        <f t="shared" si="45"/>
        <v>-523967.7</v>
      </c>
      <c r="CT30" s="76">
        <f t="shared" si="80"/>
        <v>751352.3</v>
      </c>
      <c r="CU30" s="76">
        <f t="shared" si="81"/>
        <v>701626.9</v>
      </c>
      <c r="CV30" s="76">
        <f t="shared" si="82"/>
        <v>-49725.40000000002</v>
      </c>
      <c r="CW30" s="76">
        <f t="shared" si="83"/>
        <v>0</v>
      </c>
      <c r="CX30" s="76">
        <f t="shared" si="84"/>
        <v>-49725.40000000002</v>
      </c>
      <c r="CY30" s="76">
        <f t="shared" si="85"/>
        <v>-164937.15000000002</v>
      </c>
      <c r="CZ30" s="76">
        <f t="shared" si="86"/>
        <v>0</v>
      </c>
      <c r="DA30" s="76">
        <f t="shared" si="87"/>
        <v>115211.75</v>
      </c>
      <c r="DB30" s="76">
        <f t="shared" si="88"/>
        <v>-49725.40000000002</v>
      </c>
      <c r="DC30" s="76">
        <f t="shared" si="89"/>
        <v>-115211.75</v>
      </c>
      <c r="DD30" s="76">
        <f t="shared" si="90"/>
        <v>-164937.15000000002</v>
      </c>
      <c r="DE30" s="76">
        <f t="shared" si="91"/>
        <v>231361.15</v>
      </c>
      <c r="DF30" s="76">
        <f t="shared" si="92"/>
        <v>-1329.8672588832487</v>
      </c>
      <c r="DG30" s="76">
        <f t="shared" si="93"/>
        <v>64.9973350253807</v>
      </c>
      <c r="DH30" s="76">
        <f t="shared" si="94"/>
        <v>587.2110406091371</v>
      </c>
      <c r="DI30" s="77">
        <f t="shared" si="95"/>
        <v>0</v>
      </c>
      <c r="DJ30" s="72">
        <f t="shared" si="96"/>
        <v>-126.20659898477163</v>
      </c>
      <c r="DK30" s="151">
        <f t="shared" si="46"/>
        <v>-523967.69999999995</v>
      </c>
      <c r="DL30" s="136">
        <v>9</v>
      </c>
      <c r="DM30" s="136">
        <v>48</v>
      </c>
      <c r="DN30" s="65">
        <v>0</v>
      </c>
    </row>
    <row r="31" spans="1:118" ht="13.5" thickBot="1">
      <c r="A31" s="51" t="s">
        <v>20</v>
      </c>
      <c r="B31" s="42">
        <v>301</v>
      </c>
      <c r="C31" s="7">
        <v>990901</v>
      </c>
      <c r="D31" s="33">
        <v>3292.03</v>
      </c>
      <c r="E31" s="33">
        <v>103.31</v>
      </c>
      <c r="F31" s="125">
        <v>10</v>
      </c>
      <c r="G31" s="129">
        <v>374257.75</v>
      </c>
      <c r="H31" s="41">
        <v>91857.75</v>
      </c>
      <c r="I31" s="41">
        <v>2619.75</v>
      </c>
      <c r="J31" s="41">
        <v>0</v>
      </c>
      <c r="K31" s="41">
        <v>13926.6</v>
      </c>
      <c r="L31" s="41">
        <v>0</v>
      </c>
      <c r="M31" s="41">
        <f t="shared" si="0"/>
        <v>13926.6</v>
      </c>
      <c r="N31" s="41">
        <v>0</v>
      </c>
      <c r="O31" s="41">
        <v>105750.75</v>
      </c>
      <c r="P31" s="41">
        <v>363.6</v>
      </c>
      <c r="Q31" s="41">
        <v>0</v>
      </c>
      <c r="R31" s="41">
        <v>20.35</v>
      </c>
      <c r="S31" s="41">
        <v>0</v>
      </c>
      <c r="T31" s="41">
        <v>0</v>
      </c>
      <c r="U31" s="41">
        <v>0</v>
      </c>
      <c r="V31" s="41">
        <v>0</v>
      </c>
      <c r="W31" s="41">
        <f t="shared" si="63"/>
        <v>20.35</v>
      </c>
      <c r="X31" s="41">
        <v>29000</v>
      </c>
      <c r="Y31" s="41">
        <f t="shared" si="64"/>
        <v>617796.5499999999</v>
      </c>
      <c r="Z31" s="41">
        <v>315394.1</v>
      </c>
      <c r="AA31" s="41">
        <v>2693.55</v>
      </c>
      <c r="AB31" s="41">
        <v>0</v>
      </c>
      <c r="AC31" s="41">
        <v>1243.95</v>
      </c>
      <c r="AD31" s="41">
        <v>0</v>
      </c>
      <c r="AE31" s="41">
        <f t="shared" si="65"/>
        <v>319331.6</v>
      </c>
      <c r="AF31" s="41">
        <v>0</v>
      </c>
      <c r="AG31" s="41">
        <v>535.05</v>
      </c>
      <c r="AH31" s="41">
        <v>0</v>
      </c>
      <c r="AI31" s="41">
        <v>71234.5</v>
      </c>
      <c r="AJ31" s="41">
        <v>0</v>
      </c>
      <c r="AK31" s="41">
        <v>0</v>
      </c>
      <c r="AL31" s="41">
        <v>173558.1</v>
      </c>
      <c r="AM31" s="41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6"/>
        <v>0</v>
      </c>
      <c r="AT31" s="4">
        <v>29000</v>
      </c>
      <c r="AU31" s="4">
        <f t="shared" si="67"/>
        <v>593659.25</v>
      </c>
      <c r="AV31" s="4">
        <v>0</v>
      </c>
      <c r="AW31" s="4">
        <v>24137.3</v>
      </c>
      <c r="AX31" s="4">
        <f t="shared" si="68"/>
        <v>-6.912159733474255E-11</v>
      </c>
      <c r="AY31" s="41">
        <v>0</v>
      </c>
      <c r="AZ31" s="41">
        <v>13926.6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9"/>
        <v>13926.6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20000</v>
      </c>
      <c r="BN31" s="41">
        <v>0</v>
      </c>
      <c r="BO31" s="41">
        <f t="shared" si="70"/>
        <v>20000</v>
      </c>
      <c r="BP31" s="41">
        <v>20000</v>
      </c>
      <c r="BQ31" s="41">
        <v>0</v>
      </c>
      <c r="BR31" s="41">
        <v>13926.6</v>
      </c>
      <c r="BS31" s="41">
        <f t="shared" si="71"/>
        <v>0</v>
      </c>
      <c r="BT31" s="4">
        <v>305816.25</v>
      </c>
      <c r="BU31" s="4">
        <v>53000</v>
      </c>
      <c r="BV31" s="4">
        <v>0</v>
      </c>
      <c r="BW31" s="4">
        <v>0</v>
      </c>
      <c r="BX31" s="4">
        <f t="shared" si="72"/>
        <v>358816.25</v>
      </c>
      <c r="BY31" s="4">
        <v>279678.8</v>
      </c>
      <c r="BZ31" s="4">
        <v>22691.35</v>
      </c>
      <c r="CA31" s="4">
        <v>56446.1</v>
      </c>
      <c r="CB31" s="4">
        <f t="shared" si="73"/>
        <v>358816.24999999994</v>
      </c>
      <c r="CC31" s="4">
        <f t="shared" si="74"/>
        <v>0</v>
      </c>
      <c r="CD31" s="70">
        <f t="shared" si="75"/>
        <v>-10210.699999999999</v>
      </c>
      <c r="CE31" s="72">
        <f t="shared" si="76"/>
        <v>-10190.349999999999</v>
      </c>
      <c r="CF31" s="72">
        <f t="shared" si="77"/>
        <v>-6073.4</v>
      </c>
      <c r="CG31" s="72">
        <f t="shared" si="35"/>
        <v>564659.25</v>
      </c>
      <c r="CH31" s="72">
        <f t="shared" si="78"/>
        <v>2084.7</v>
      </c>
      <c r="CI31" s="35">
        <f t="shared" si="79"/>
        <v>16011.3</v>
      </c>
      <c r="CJ31" s="57">
        <f t="shared" si="36"/>
        <v>1.6812164520696808</v>
      </c>
      <c r="CK31" s="57">
        <f t="shared" si="37"/>
        <v>1.6778657753482398</v>
      </c>
      <c r="CL31" s="148">
        <f t="shared" si="38"/>
        <v>-0.01808294117204314</v>
      </c>
      <c r="CM31" s="148">
        <f t="shared" si="39"/>
        <v>-0.018046901737640883</v>
      </c>
      <c r="CN31" s="148">
        <f t="shared" si="40"/>
        <v>0.003691961125227294</v>
      </c>
      <c r="CO31" s="148">
        <f t="shared" si="41"/>
        <v>0.02835568530932593</v>
      </c>
      <c r="CP31" s="148">
        <f t="shared" si="42"/>
        <v>0.208087666189527</v>
      </c>
      <c r="CQ31" s="148">
        <f t="shared" si="43"/>
        <v>0.208087666189527</v>
      </c>
      <c r="CR31" s="149">
        <f t="shared" si="44"/>
        <v>-2.5649217151520816</v>
      </c>
      <c r="CS31" s="72">
        <f t="shared" si="45"/>
        <v>26137.45000000001</v>
      </c>
      <c r="CT31" s="76">
        <f t="shared" si="80"/>
        <v>603869.95</v>
      </c>
      <c r="CU31" s="76">
        <f t="shared" si="81"/>
        <v>593659.25</v>
      </c>
      <c r="CV31" s="76">
        <f t="shared" si="82"/>
        <v>-10210.699999999953</v>
      </c>
      <c r="CW31" s="76">
        <f t="shared" si="83"/>
        <v>0</v>
      </c>
      <c r="CX31" s="76">
        <f t="shared" si="84"/>
        <v>-10210.699999999953</v>
      </c>
      <c r="CY31" s="76">
        <f t="shared" si="85"/>
        <v>-24137.299999999952</v>
      </c>
      <c r="CZ31" s="76">
        <f t="shared" si="86"/>
        <v>-6073.4</v>
      </c>
      <c r="DA31" s="76">
        <f t="shared" si="87"/>
        <v>13926.6</v>
      </c>
      <c r="DB31" s="76">
        <f t="shared" si="88"/>
        <v>-4137.299999999952</v>
      </c>
      <c r="DC31" s="76">
        <f t="shared" si="89"/>
        <v>-33926.6</v>
      </c>
      <c r="DD31" s="76">
        <f t="shared" si="90"/>
        <v>-24137.299999999952</v>
      </c>
      <c r="DE31" s="76">
        <f t="shared" si="91"/>
        <v>318087.64999999997</v>
      </c>
      <c r="DF31" s="76">
        <f t="shared" si="92"/>
        <v>86.83538205980071</v>
      </c>
      <c r="DG31" s="76">
        <f t="shared" si="93"/>
        <v>6.925913621262458</v>
      </c>
      <c r="DH31" s="76">
        <f t="shared" si="94"/>
        <v>1056.7696013289035</v>
      </c>
      <c r="DI31" s="77">
        <f t="shared" si="95"/>
        <v>-20.177408637873754</v>
      </c>
      <c r="DJ31" s="72">
        <f t="shared" si="96"/>
        <v>-13.745182724252333</v>
      </c>
      <c r="DK31" s="151">
        <f t="shared" si="46"/>
        <v>3446.0999999999985</v>
      </c>
      <c r="DL31" s="72">
        <v>15</v>
      </c>
      <c r="DM31" s="137">
        <v>35</v>
      </c>
      <c r="DN31" s="68">
        <v>0</v>
      </c>
    </row>
    <row r="32" spans="1:118" ht="12.75" customHeight="1">
      <c r="A32" s="58" t="s">
        <v>70</v>
      </c>
      <c r="B32" s="60">
        <f aca="true" t="shared" si="103" ref="B32:BM32">SUM(B3:B31)</f>
        <v>37966</v>
      </c>
      <c r="C32" s="60">
        <f t="shared" si="103"/>
        <v>120978291</v>
      </c>
      <c r="D32" s="60">
        <f t="shared" si="103"/>
        <v>81866.11999999998</v>
      </c>
      <c r="E32" s="60">
        <f t="shared" si="103"/>
        <v>2569.17</v>
      </c>
      <c r="F32" s="60">
        <f t="shared" si="103"/>
        <v>311</v>
      </c>
      <c r="G32" s="116">
        <f t="shared" si="103"/>
        <v>35861028.99</v>
      </c>
      <c r="H32" s="117">
        <f t="shared" si="103"/>
        <v>6495648.7299999995</v>
      </c>
      <c r="I32" s="117">
        <f t="shared" si="103"/>
        <v>1681180.65</v>
      </c>
      <c r="J32" s="117">
        <f t="shared" si="103"/>
        <v>0</v>
      </c>
      <c r="K32" s="117">
        <f t="shared" si="103"/>
        <v>3889843.100000001</v>
      </c>
      <c r="L32" s="117">
        <f t="shared" si="103"/>
        <v>220312.85</v>
      </c>
      <c r="M32" s="117">
        <f t="shared" si="103"/>
        <v>4110155.9500000007</v>
      </c>
      <c r="N32" s="117">
        <f t="shared" si="103"/>
        <v>128.85</v>
      </c>
      <c r="O32" s="117">
        <f t="shared" si="103"/>
        <v>8642736.31</v>
      </c>
      <c r="P32" s="117">
        <f t="shared" si="103"/>
        <v>88374.1</v>
      </c>
      <c r="Q32" s="117">
        <f t="shared" si="103"/>
        <v>3500</v>
      </c>
      <c r="R32" s="117">
        <f t="shared" si="103"/>
        <v>20.35</v>
      </c>
      <c r="S32" s="117">
        <f t="shared" si="103"/>
        <v>0</v>
      </c>
      <c r="T32" s="117">
        <f t="shared" si="103"/>
        <v>100000</v>
      </c>
      <c r="U32" s="117">
        <f t="shared" si="103"/>
        <v>0</v>
      </c>
      <c r="V32" s="117">
        <f t="shared" si="103"/>
        <v>0</v>
      </c>
      <c r="W32" s="117">
        <f t="shared" si="103"/>
        <v>100020.35</v>
      </c>
      <c r="X32" s="117">
        <f t="shared" si="103"/>
        <v>3824715.7000000007</v>
      </c>
      <c r="Y32" s="117">
        <f t="shared" si="103"/>
        <v>60807489.629999995</v>
      </c>
      <c r="Z32" s="117">
        <f t="shared" si="103"/>
        <v>16621313.899999999</v>
      </c>
      <c r="AA32" s="117">
        <f t="shared" si="103"/>
        <v>1686154.9000000001</v>
      </c>
      <c r="AB32" s="117">
        <f t="shared" si="103"/>
        <v>9673.2</v>
      </c>
      <c r="AC32" s="117">
        <f t="shared" si="103"/>
        <v>218765.74999999997</v>
      </c>
      <c r="AD32" s="117">
        <f t="shared" si="103"/>
        <v>0</v>
      </c>
      <c r="AE32" s="117">
        <f t="shared" si="103"/>
        <v>18535907.75</v>
      </c>
      <c r="AF32" s="117">
        <f t="shared" si="103"/>
        <v>0</v>
      </c>
      <c r="AG32" s="117">
        <f t="shared" si="103"/>
        <v>346343.25</v>
      </c>
      <c r="AH32" s="117">
        <f t="shared" si="103"/>
        <v>0</v>
      </c>
      <c r="AI32" s="117">
        <f t="shared" si="103"/>
        <v>781276.5999999999</v>
      </c>
      <c r="AJ32" s="117">
        <f t="shared" si="103"/>
        <v>14900297.450000003</v>
      </c>
      <c r="AK32" s="117">
        <f t="shared" si="103"/>
        <v>3038648.4</v>
      </c>
      <c r="AL32" s="117">
        <f t="shared" si="103"/>
        <v>15103618.749999998</v>
      </c>
      <c r="AM32" s="117">
        <f t="shared" si="103"/>
        <v>2034.5</v>
      </c>
      <c r="AN32" s="117">
        <f t="shared" si="103"/>
        <v>0</v>
      </c>
      <c r="AO32" s="117">
        <f t="shared" si="103"/>
        <v>0</v>
      </c>
      <c r="AP32" s="117">
        <f t="shared" si="103"/>
        <v>227579.6</v>
      </c>
      <c r="AQ32" s="117">
        <f t="shared" si="103"/>
        <v>4500</v>
      </c>
      <c r="AR32" s="117">
        <f t="shared" si="103"/>
        <v>0</v>
      </c>
      <c r="AS32" s="117">
        <f t="shared" si="103"/>
        <v>232079.6</v>
      </c>
      <c r="AT32" s="117">
        <f t="shared" si="103"/>
        <v>4128368.28</v>
      </c>
      <c r="AU32" s="117">
        <f t="shared" si="103"/>
        <v>57068574.580000006</v>
      </c>
      <c r="AV32" s="117">
        <f t="shared" si="103"/>
        <v>15604</v>
      </c>
      <c r="AW32" s="117">
        <f t="shared" si="103"/>
        <v>3754518.9699999997</v>
      </c>
      <c r="AX32" s="117">
        <f t="shared" si="103"/>
        <v>0.08000000379161065</v>
      </c>
      <c r="AY32" s="117">
        <f t="shared" si="103"/>
        <v>41881.15</v>
      </c>
      <c r="AZ32" s="117">
        <f t="shared" si="103"/>
        <v>2918520.65</v>
      </c>
      <c r="BA32" s="117">
        <f t="shared" si="103"/>
        <v>59041.99999999999</v>
      </c>
      <c r="BB32" s="117">
        <f t="shared" si="103"/>
        <v>0</v>
      </c>
      <c r="BC32" s="117">
        <f t="shared" si="103"/>
        <v>11294.5</v>
      </c>
      <c r="BD32" s="117">
        <f t="shared" si="103"/>
        <v>1980.1</v>
      </c>
      <c r="BE32" s="117">
        <f t="shared" si="103"/>
        <v>32667</v>
      </c>
      <c r="BF32" s="117">
        <f t="shared" si="103"/>
        <v>3023504.25</v>
      </c>
      <c r="BG32" s="117">
        <f t="shared" si="103"/>
        <v>47006.8</v>
      </c>
      <c r="BH32" s="117">
        <f t="shared" si="103"/>
        <v>0</v>
      </c>
      <c r="BI32" s="117">
        <f t="shared" si="103"/>
        <v>3735</v>
      </c>
      <c r="BJ32" s="117">
        <f t="shared" si="103"/>
        <v>0</v>
      </c>
      <c r="BK32" s="117">
        <f t="shared" si="103"/>
        <v>14551</v>
      </c>
      <c r="BL32" s="117">
        <f t="shared" si="103"/>
        <v>33185.99999999999</v>
      </c>
      <c r="BM32" s="117">
        <f t="shared" si="103"/>
        <v>1019672.7</v>
      </c>
      <c r="BN32" s="117">
        <f aca="true" t="shared" si="104" ref="BN32:DL32">SUM(BN3:BN31)</f>
        <v>0</v>
      </c>
      <c r="BO32" s="117">
        <f t="shared" si="104"/>
        <v>1118151.5</v>
      </c>
      <c r="BP32" s="117">
        <f t="shared" si="104"/>
        <v>1118151.5</v>
      </c>
      <c r="BQ32" s="117">
        <f t="shared" si="104"/>
        <v>0</v>
      </c>
      <c r="BR32" s="117">
        <f t="shared" si="104"/>
        <v>3023504.25</v>
      </c>
      <c r="BS32" s="117">
        <f t="shared" si="104"/>
        <v>0</v>
      </c>
      <c r="BT32" s="117">
        <f t="shared" si="104"/>
        <v>25887308.279999997</v>
      </c>
      <c r="BU32" s="117">
        <f t="shared" si="104"/>
        <v>36844408.25</v>
      </c>
      <c r="BV32" s="117">
        <f t="shared" si="104"/>
        <v>0</v>
      </c>
      <c r="BW32" s="117">
        <f t="shared" si="104"/>
        <v>3246010.1900000004</v>
      </c>
      <c r="BX32" s="117">
        <f t="shared" si="104"/>
        <v>65977726.72</v>
      </c>
      <c r="BY32" s="117">
        <f t="shared" si="104"/>
        <v>62187770.07999999</v>
      </c>
      <c r="BZ32" s="117">
        <f t="shared" si="104"/>
        <v>1160229.05</v>
      </c>
      <c r="CA32" s="117">
        <f t="shared" si="104"/>
        <v>2629727.59</v>
      </c>
      <c r="CB32" s="117">
        <f t="shared" si="104"/>
        <v>65977726.72</v>
      </c>
      <c r="CC32" s="117">
        <f t="shared" si="104"/>
        <v>0</v>
      </c>
      <c r="CD32" s="117">
        <f t="shared" si="104"/>
        <v>371240.9800000003</v>
      </c>
      <c r="CE32" s="117">
        <f t="shared" si="104"/>
        <v>239181.7300000001</v>
      </c>
      <c r="CF32" s="117">
        <f t="shared" si="104"/>
        <v>1905352.75</v>
      </c>
      <c r="CG32" s="117">
        <f t="shared" si="104"/>
        <v>52706092.19999999</v>
      </c>
      <c r="CH32" s="117">
        <f t="shared" si="104"/>
        <v>1376718.55</v>
      </c>
      <c r="CI32" s="117">
        <f t="shared" si="104"/>
        <v>5266561.65</v>
      </c>
      <c r="CJ32" s="118">
        <f t="shared" si="104"/>
        <v>-36.910949161722165</v>
      </c>
      <c r="CK32" s="118">
        <f t="shared" si="104"/>
        <v>-36.91429983844361</v>
      </c>
      <c r="CL32" s="118">
        <f t="shared" si="104"/>
        <v>-0.7831710222870956</v>
      </c>
      <c r="CM32" s="118">
        <f t="shared" si="104"/>
        <v>-0.8869055292971025</v>
      </c>
      <c r="CN32" s="118">
        <f t="shared" si="104"/>
        <v>0.7743819291881124</v>
      </c>
      <c r="CO32" s="118">
        <f t="shared" si="104"/>
        <v>3.7311175526144904</v>
      </c>
      <c r="CP32" s="118">
        <f t="shared" si="104"/>
        <v>5.0633530506292015</v>
      </c>
      <c r="CQ32" s="118">
        <f t="shared" si="104"/>
        <v>4.924965700767878</v>
      </c>
      <c r="CR32" s="117">
        <f t="shared" si="104"/>
        <v>-156.12615099760077</v>
      </c>
      <c r="CS32" s="117">
        <f t="shared" si="104"/>
        <v>-36300461.79999999</v>
      </c>
      <c r="CT32" s="117">
        <f t="shared" si="104"/>
        <v>56697333.68</v>
      </c>
      <c r="CU32" s="117">
        <f t="shared" si="104"/>
        <v>57068574.580000006</v>
      </c>
      <c r="CV32" s="117">
        <f t="shared" si="104"/>
        <v>371240.89999999607</v>
      </c>
      <c r="CW32" s="117">
        <f t="shared" si="104"/>
        <v>0</v>
      </c>
      <c r="CX32" s="117">
        <f t="shared" si="104"/>
        <v>371240.89999999607</v>
      </c>
      <c r="CY32" s="117">
        <f t="shared" si="104"/>
        <v>-3738915.050000004</v>
      </c>
      <c r="CZ32" s="117">
        <f t="shared" si="104"/>
        <v>1905352.75</v>
      </c>
      <c r="DA32" s="117">
        <f t="shared" si="104"/>
        <v>4110155.9500000007</v>
      </c>
      <c r="DB32" s="117">
        <f t="shared" si="104"/>
        <v>-1534111.850000004</v>
      </c>
      <c r="DC32" s="117">
        <f t="shared" si="104"/>
        <v>-5228307.45</v>
      </c>
      <c r="DD32" s="117">
        <f t="shared" si="104"/>
        <v>-3738915.050000004</v>
      </c>
      <c r="DE32" s="117">
        <f t="shared" si="104"/>
        <v>18317141.999999996</v>
      </c>
      <c r="DF32" s="117">
        <f t="shared" si="104"/>
        <v>-28589.358361050996</v>
      </c>
      <c r="DG32" s="117">
        <f t="shared" si="104"/>
        <v>1044.0046915770117</v>
      </c>
      <c r="DH32" s="117">
        <f t="shared" si="104"/>
        <v>12625.302352887426</v>
      </c>
      <c r="DI32" s="117">
        <f t="shared" si="104"/>
        <v>655.8254278212336</v>
      </c>
      <c r="DJ32" s="117">
        <f t="shared" si="104"/>
        <v>-1619.4343599091374</v>
      </c>
      <c r="DK32" s="117">
        <f t="shared" si="104"/>
        <v>-37460690.849999994</v>
      </c>
      <c r="DL32" s="117">
        <f t="shared" si="104"/>
        <v>595</v>
      </c>
      <c r="DM32" s="24">
        <f>SUM(DM3:DM31)</f>
        <v>2764</v>
      </c>
      <c r="DN32" s="25">
        <f>SUM(DN3:DN31)</f>
        <v>0</v>
      </c>
    </row>
    <row r="33" spans="1:118" ht="12.75">
      <c r="A33" s="29" t="s">
        <v>47</v>
      </c>
      <c r="B33" s="23">
        <f aca="true" t="shared" si="105" ref="B33:BM33">MIN(B3:B31)</f>
        <v>172</v>
      </c>
      <c r="C33" s="23">
        <f t="shared" si="105"/>
        <v>391363</v>
      </c>
      <c r="D33" s="24">
        <f t="shared" si="105"/>
        <v>1913.87</v>
      </c>
      <c r="E33" s="24">
        <f t="shared" si="105"/>
        <v>60.06</v>
      </c>
      <c r="F33" s="114">
        <f t="shared" si="105"/>
        <v>0</v>
      </c>
      <c r="G33" s="120">
        <f t="shared" si="105"/>
        <v>0</v>
      </c>
      <c r="H33" s="23">
        <f t="shared" si="105"/>
        <v>0</v>
      </c>
      <c r="I33" s="23">
        <f t="shared" si="105"/>
        <v>0</v>
      </c>
      <c r="J33" s="23">
        <f t="shared" si="105"/>
        <v>0</v>
      </c>
      <c r="K33" s="23">
        <f t="shared" si="105"/>
        <v>0</v>
      </c>
      <c r="L33" s="23">
        <f t="shared" si="105"/>
        <v>0</v>
      </c>
      <c r="M33" s="23">
        <f t="shared" si="105"/>
        <v>0</v>
      </c>
      <c r="N33" s="23">
        <f t="shared" si="105"/>
        <v>0</v>
      </c>
      <c r="O33" s="23">
        <f t="shared" si="105"/>
        <v>0</v>
      </c>
      <c r="P33" s="23">
        <f t="shared" si="105"/>
        <v>0</v>
      </c>
      <c r="Q33" s="23">
        <f t="shared" si="105"/>
        <v>0</v>
      </c>
      <c r="R33" s="23">
        <f t="shared" si="105"/>
        <v>0</v>
      </c>
      <c r="S33" s="23">
        <f t="shared" si="105"/>
        <v>0</v>
      </c>
      <c r="T33" s="23">
        <f t="shared" si="105"/>
        <v>0</v>
      </c>
      <c r="U33" s="23">
        <f t="shared" si="105"/>
        <v>0</v>
      </c>
      <c r="V33" s="23">
        <f t="shared" si="105"/>
        <v>0</v>
      </c>
      <c r="W33" s="23">
        <f t="shared" si="105"/>
        <v>0</v>
      </c>
      <c r="X33" s="23">
        <f t="shared" si="105"/>
        <v>0</v>
      </c>
      <c r="Y33" s="23">
        <f t="shared" si="105"/>
        <v>0</v>
      </c>
      <c r="Z33" s="23">
        <f t="shared" si="105"/>
        <v>0</v>
      </c>
      <c r="AA33" s="23">
        <f t="shared" si="105"/>
        <v>0</v>
      </c>
      <c r="AB33" s="23">
        <f t="shared" si="105"/>
        <v>0</v>
      </c>
      <c r="AC33" s="23">
        <f>MIN(AC3:AC31)</f>
        <v>0</v>
      </c>
      <c r="AD33" s="23">
        <f t="shared" si="105"/>
        <v>0</v>
      </c>
      <c r="AE33" s="23">
        <f t="shared" si="105"/>
        <v>0</v>
      </c>
      <c r="AF33" s="23">
        <f t="shared" si="105"/>
        <v>0</v>
      </c>
      <c r="AG33" s="23">
        <f t="shared" si="105"/>
        <v>0</v>
      </c>
      <c r="AH33" s="23">
        <f t="shared" si="105"/>
        <v>0</v>
      </c>
      <c r="AI33" s="23">
        <f t="shared" si="105"/>
        <v>0</v>
      </c>
      <c r="AJ33" s="23">
        <f t="shared" si="105"/>
        <v>0</v>
      </c>
      <c r="AK33" s="23">
        <f t="shared" si="105"/>
        <v>0</v>
      </c>
      <c r="AL33" s="23">
        <f t="shared" si="105"/>
        <v>0</v>
      </c>
      <c r="AM33" s="23">
        <f t="shared" si="105"/>
        <v>0</v>
      </c>
      <c r="AN33" s="23">
        <f t="shared" si="105"/>
        <v>0</v>
      </c>
      <c r="AO33" s="23">
        <f t="shared" si="105"/>
        <v>0</v>
      </c>
      <c r="AP33" s="23">
        <f t="shared" si="105"/>
        <v>0</v>
      </c>
      <c r="AQ33" s="23">
        <f t="shared" si="105"/>
        <v>0</v>
      </c>
      <c r="AR33" s="23">
        <f t="shared" si="105"/>
        <v>0</v>
      </c>
      <c r="AS33" s="23">
        <f t="shared" si="105"/>
        <v>0</v>
      </c>
      <c r="AT33" s="23">
        <f t="shared" si="105"/>
        <v>0</v>
      </c>
      <c r="AU33" s="23">
        <f t="shared" si="105"/>
        <v>0</v>
      </c>
      <c r="AV33" s="23">
        <f t="shared" si="105"/>
        <v>0</v>
      </c>
      <c r="AW33" s="23">
        <f t="shared" si="105"/>
        <v>0</v>
      </c>
      <c r="AX33" s="23">
        <f t="shared" si="105"/>
        <v>-0.1299999984621536</v>
      </c>
      <c r="AY33" s="23">
        <f t="shared" si="105"/>
        <v>0</v>
      </c>
      <c r="AZ33" s="23">
        <f t="shared" si="105"/>
        <v>0</v>
      </c>
      <c r="BA33" s="23">
        <f t="shared" si="105"/>
        <v>0</v>
      </c>
      <c r="BB33" s="23">
        <f t="shared" si="105"/>
        <v>0</v>
      </c>
      <c r="BC33" s="23">
        <f t="shared" si="105"/>
        <v>0</v>
      </c>
      <c r="BD33" s="23">
        <f t="shared" si="105"/>
        <v>0</v>
      </c>
      <c r="BE33" s="23">
        <f t="shared" si="105"/>
        <v>0</v>
      </c>
      <c r="BF33" s="23">
        <f t="shared" si="105"/>
        <v>0</v>
      </c>
      <c r="BG33" s="23">
        <f t="shared" si="105"/>
        <v>0</v>
      </c>
      <c r="BH33" s="23">
        <f t="shared" si="105"/>
        <v>0</v>
      </c>
      <c r="BI33" s="23">
        <f t="shared" si="105"/>
        <v>0</v>
      </c>
      <c r="BJ33" s="23">
        <f t="shared" si="105"/>
        <v>0</v>
      </c>
      <c r="BK33" s="23">
        <f t="shared" si="105"/>
        <v>0</v>
      </c>
      <c r="BL33" s="23">
        <f t="shared" si="105"/>
        <v>0</v>
      </c>
      <c r="BM33" s="23">
        <f t="shared" si="105"/>
        <v>0</v>
      </c>
      <c r="BN33" s="23">
        <f aca="true" t="shared" si="106" ref="BN33:DL33">MIN(BN3:BN31)</f>
        <v>0</v>
      </c>
      <c r="BO33" s="23">
        <f t="shared" si="106"/>
        <v>0</v>
      </c>
      <c r="BP33" s="23">
        <f t="shared" si="106"/>
        <v>0</v>
      </c>
      <c r="BQ33" s="23">
        <f t="shared" si="106"/>
        <v>0</v>
      </c>
      <c r="BR33" s="23">
        <f t="shared" si="106"/>
        <v>0</v>
      </c>
      <c r="BS33" s="23">
        <f t="shared" si="106"/>
        <v>0</v>
      </c>
      <c r="BT33" s="23">
        <f t="shared" si="106"/>
        <v>0</v>
      </c>
      <c r="BU33" s="23">
        <f t="shared" si="106"/>
        <v>0</v>
      </c>
      <c r="BV33" s="23">
        <f t="shared" si="106"/>
        <v>0</v>
      </c>
      <c r="BW33" s="23">
        <f t="shared" si="106"/>
        <v>0</v>
      </c>
      <c r="BX33" s="23">
        <f t="shared" si="106"/>
        <v>0</v>
      </c>
      <c r="BY33" s="23">
        <f t="shared" si="106"/>
        <v>0</v>
      </c>
      <c r="BZ33" s="23">
        <f t="shared" si="106"/>
        <v>0</v>
      </c>
      <c r="CA33" s="23">
        <f t="shared" si="106"/>
        <v>0</v>
      </c>
      <c r="CB33" s="23">
        <f t="shared" si="106"/>
        <v>0</v>
      </c>
      <c r="CC33" s="23">
        <f t="shared" si="106"/>
        <v>0</v>
      </c>
      <c r="CD33" s="23">
        <f t="shared" si="106"/>
        <v>-333533.75</v>
      </c>
      <c r="CE33" s="23">
        <f t="shared" si="106"/>
        <v>-341414.5</v>
      </c>
      <c r="CF33" s="23">
        <f t="shared" si="106"/>
        <v>-6073.4</v>
      </c>
      <c r="CG33" s="23">
        <f t="shared" si="106"/>
        <v>0</v>
      </c>
      <c r="CH33" s="23">
        <f t="shared" si="106"/>
        <v>-8361.95</v>
      </c>
      <c r="CI33" s="23">
        <f t="shared" si="106"/>
        <v>-4198.9</v>
      </c>
      <c r="CJ33" s="89">
        <f t="shared" si="106"/>
        <v>-132.40727272727273</v>
      </c>
      <c r="CK33" s="89">
        <f t="shared" si="106"/>
        <v>-132.40727272727273</v>
      </c>
      <c r="CL33" s="89">
        <f t="shared" si="106"/>
        <v>-0.1930710114195586</v>
      </c>
      <c r="CM33" s="89">
        <f t="shared" si="106"/>
        <v>-0.1930710114195586</v>
      </c>
      <c r="CN33" s="89">
        <f t="shared" si="106"/>
        <v>-0.002701000566480276</v>
      </c>
      <c r="CO33" s="89">
        <f t="shared" si="106"/>
        <v>-0.0018630529825131516</v>
      </c>
      <c r="CP33" s="89">
        <f t="shared" si="106"/>
        <v>0</v>
      </c>
      <c r="CQ33" s="89">
        <f t="shared" si="106"/>
        <v>0</v>
      </c>
      <c r="CR33" s="23">
        <f t="shared" si="106"/>
        <v>-81.3107227736614</v>
      </c>
      <c r="CS33" s="23">
        <f t="shared" si="106"/>
        <v>-6555273.72</v>
      </c>
      <c r="CT33" s="23">
        <f t="shared" si="106"/>
        <v>0</v>
      </c>
      <c r="CU33" s="23">
        <f t="shared" si="106"/>
        <v>0</v>
      </c>
      <c r="CV33" s="23">
        <f t="shared" si="106"/>
        <v>-333533.74999999907</v>
      </c>
      <c r="CW33" s="23">
        <f t="shared" si="106"/>
        <v>0</v>
      </c>
      <c r="CX33" s="23">
        <f t="shared" si="106"/>
        <v>-333533.74999999907</v>
      </c>
      <c r="CY33" s="23">
        <f t="shared" si="106"/>
        <v>-368533.74999999907</v>
      </c>
      <c r="CZ33" s="23">
        <f t="shared" si="106"/>
        <v>-6073.4</v>
      </c>
      <c r="DA33" s="23">
        <f t="shared" si="106"/>
        <v>0</v>
      </c>
      <c r="DB33" s="23">
        <f t="shared" si="106"/>
        <v>-479680.6400000002</v>
      </c>
      <c r="DC33" s="23">
        <f t="shared" si="106"/>
        <v>-830000</v>
      </c>
      <c r="DD33" s="23">
        <f t="shared" si="106"/>
        <v>-368533.74999999907</v>
      </c>
      <c r="DE33" s="23">
        <f t="shared" si="106"/>
        <v>0</v>
      </c>
      <c r="DF33" s="23">
        <f t="shared" si="106"/>
        <v>-2947.2541284403665</v>
      </c>
      <c r="DG33" s="23">
        <f t="shared" si="106"/>
        <v>-3.573531914893617</v>
      </c>
      <c r="DH33" s="23">
        <f t="shared" si="106"/>
        <v>0</v>
      </c>
      <c r="DI33" s="23">
        <f t="shared" si="106"/>
        <v>-20.177408637873754</v>
      </c>
      <c r="DJ33" s="23">
        <f t="shared" si="106"/>
        <v>-265.01692817679566</v>
      </c>
      <c r="DK33" s="23">
        <f t="shared" si="106"/>
        <v>-6555273.72</v>
      </c>
      <c r="DL33" s="23">
        <f t="shared" si="106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07" ref="B34:BM34">MAX(B3:B31)</f>
        <v>5551</v>
      </c>
      <c r="C34" s="23">
        <f t="shared" si="107"/>
        <v>21735233</v>
      </c>
      <c r="D34" s="24">
        <f t="shared" si="107"/>
        <v>6138.44</v>
      </c>
      <c r="E34" s="24">
        <f t="shared" si="107"/>
        <v>192.64</v>
      </c>
      <c r="F34" s="114">
        <f t="shared" si="107"/>
        <v>15</v>
      </c>
      <c r="G34" s="120">
        <f t="shared" si="107"/>
        <v>5203611.45</v>
      </c>
      <c r="H34" s="23">
        <f t="shared" si="107"/>
        <v>945466.896209182</v>
      </c>
      <c r="I34" s="23">
        <f t="shared" si="107"/>
        <v>358974.3</v>
      </c>
      <c r="J34" s="23">
        <f t="shared" si="107"/>
        <v>0</v>
      </c>
      <c r="K34" s="23">
        <f t="shared" si="107"/>
        <v>595415.4610895572</v>
      </c>
      <c r="L34" s="23">
        <f t="shared" si="107"/>
        <v>219697.85</v>
      </c>
      <c r="M34" s="23">
        <f t="shared" si="107"/>
        <v>595415.4610895572</v>
      </c>
      <c r="N34" s="23">
        <f t="shared" si="107"/>
        <v>128.85</v>
      </c>
      <c r="O34" s="23">
        <f t="shared" si="107"/>
        <v>1598174.8510588424</v>
      </c>
      <c r="P34" s="23">
        <f t="shared" si="107"/>
        <v>33267.5</v>
      </c>
      <c r="Q34" s="23">
        <f t="shared" si="107"/>
        <v>3500</v>
      </c>
      <c r="R34" s="23">
        <f t="shared" si="107"/>
        <v>20.35</v>
      </c>
      <c r="S34" s="23">
        <f t="shared" si="107"/>
        <v>0</v>
      </c>
      <c r="T34" s="23">
        <f t="shared" si="107"/>
        <v>100000</v>
      </c>
      <c r="U34" s="23">
        <f t="shared" si="107"/>
        <v>0</v>
      </c>
      <c r="V34" s="23">
        <f t="shared" si="107"/>
        <v>0</v>
      </c>
      <c r="W34" s="23">
        <f t="shared" si="107"/>
        <v>100000</v>
      </c>
      <c r="X34" s="23">
        <f t="shared" si="107"/>
        <v>1350370</v>
      </c>
      <c r="Y34" s="23">
        <f t="shared" si="107"/>
        <v>8028479.300000001</v>
      </c>
      <c r="Z34" s="23">
        <f t="shared" si="107"/>
        <v>3601280.211259295</v>
      </c>
      <c r="AA34" s="23">
        <f t="shared" si="107"/>
        <v>350292.25</v>
      </c>
      <c r="AB34" s="23">
        <f t="shared" si="107"/>
        <v>9673.2</v>
      </c>
      <c r="AC34" s="23">
        <f>MAX(AC3:AC31)</f>
        <v>33471</v>
      </c>
      <c r="AD34" s="23">
        <f t="shared" si="107"/>
        <v>0</v>
      </c>
      <c r="AE34" s="23">
        <f t="shared" si="107"/>
        <v>3826180.1517862915</v>
      </c>
      <c r="AF34" s="23">
        <f t="shared" si="107"/>
        <v>0</v>
      </c>
      <c r="AG34" s="23">
        <f t="shared" si="107"/>
        <v>206493.47600226317</v>
      </c>
      <c r="AH34" s="23">
        <f t="shared" si="107"/>
        <v>0</v>
      </c>
      <c r="AI34" s="23">
        <f t="shared" si="107"/>
        <v>193279.65521338506</v>
      </c>
      <c r="AJ34" s="23">
        <f t="shared" si="107"/>
        <v>2123218</v>
      </c>
      <c r="AK34" s="23">
        <f t="shared" si="107"/>
        <v>701276.35</v>
      </c>
      <c r="AL34" s="23">
        <f t="shared" si="107"/>
        <v>2290078</v>
      </c>
      <c r="AM34" s="23">
        <f t="shared" si="107"/>
        <v>2034.5</v>
      </c>
      <c r="AN34" s="23">
        <f t="shared" si="107"/>
        <v>0</v>
      </c>
      <c r="AO34" s="23">
        <f t="shared" si="107"/>
        <v>0</v>
      </c>
      <c r="AP34" s="23">
        <f t="shared" si="107"/>
        <v>219698.85</v>
      </c>
      <c r="AQ34" s="23">
        <f t="shared" si="107"/>
        <v>4500</v>
      </c>
      <c r="AR34" s="23">
        <f t="shared" si="107"/>
        <v>0</v>
      </c>
      <c r="AS34" s="23">
        <f t="shared" si="107"/>
        <v>219698.85</v>
      </c>
      <c r="AT34" s="23">
        <f t="shared" si="107"/>
        <v>1350370</v>
      </c>
      <c r="AU34" s="23">
        <f t="shared" si="107"/>
        <v>8036777.999999998</v>
      </c>
      <c r="AV34" s="23">
        <f t="shared" si="107"/>
        <v>15604</v>
      </c>
      <c r="AW34" s="23">
        <f t="shared" si="107"/>
        <v>368533.75</v>
      </c>
      <c r="AX34" s="23">
        <f t="shared" si="107"/>
        <v>0.2000000003608875</v>
      </c>
      <c r="AY34" s="23">
        <f t="shared" si="107"/>
        <v>41881.15</v>
      </c>
      <c r="AZ34" s="23">
        <f t="shared" si="107"/>
        <v>1008426.5</v>
      </c>
      <c r="BA34" s="23">
        <f t="shared" si="107"/>
        <v>52981.27093436792</v>
      </c>
      <c r="BB34" s="23">
        <f t="shared" si="107"/>
        <v>0</v>
      </c>
      <c r="BC34" s="23">
        <f t="shared" si="107"/>
        <v>11294.5</v>
      </c>
      <c r="BD34" s="23">
        <f t="shared" si="107"/>
        <v>1980.1</v>
      </c>
      <c r="BE34" s="23">
        <f t="shared" si="107"/>
        <v>32667</v>
      </c>
      <c r="BF34" s="23">
        <f t="shared" si="107"/>
        <v>1009966.7999999999</v>
      </c>
      <c r="BG34" s="23">
        <f t="shared" si="107"/>
        <v>47006.8</v>
      </c>
      <c r="BH34" s="23">
        <f t="shared" si="107"/>
        <v>0</v>
      </c>
      <c r="BI34" s="23">
        <f t="shared" si="107"/>
        <v>3735</v>
      </c>
      <c r="BJ34" s="23">
        <f t="shared" si="107"/>
        <v>0</v>
      </c>
      <c r="BK34" s="23">
        <f t="shared" si="107"/>
        <v>10365.276592305205</v>
      </c>
      <c r="BL34" s="23">
        <f t="shared" si="107"/>
        <v>19705.164938737038</v>
      </c>
      <c r="BM34" s="23">
        <f t="shared" si="107"/>
        <v>430000</v>
      </c>
      <c r="BN34" s="23">
        <f aca="true" t="shared" si="108" ref="BN34:DL34">MAX(BN3:BN31)</f>
        <v>0</v>
      </c>
      <c r="BO34" s="23">
        <f t="shared" si="108"/>
        <v>430000</v>
      </c>
      <c r="BP34" s="23">
        <f t="shared" si="108"/>
        <v>430000</v>
      </c>
      <c r="BQ34" s="23">
        <f t="shared" si="108"/>
        <v>0</v>
      </c>
      <c r="BR34" s="23">
        <f t="shared" si="108"/>
        <v>1009966.8</v>
      </c>
      <c r="BS34" s="23">
        <f t="shared" si="108"/>
        <v>0</v>
      </c>
      <c r="BT34" s="23">
        <f t="shared" si="108"/>
        <v>5878334.286178468</v>
      </c>
      <c r="BU34" s="23">
        <f t="shared" si="108"/>
        <v>6698750.594673458</v>
      </c>
      <c r="BV34" s="23">
        <f t="shared" si="108"/>
        <v>0</v>
      </c>
      <c r="BW34" s="23">
        <f t="shared" si="108"/>
        <v>1249193.17</v>
      </c>
      <c r="BX34" s="23">
        <f t="shared" si="108"/>
        <v>12577084.880851924</v>
      </c>
      <c r="BY34" s="23">
        <f t="shared" si="108"/>
        <v>12149013.494641123</v>
      </c>
      <c r="BZ34" s="23">
        <f t="shared" si="108"/>
        <v>715537.7</v>
      </c>
      <c r="CA34" s="23">
        <f t="shared" si="108"/>
        <v>496952.15</v>
      </c>
      <c r="CB34" s="23">
        <f t="shared" si="108"/>
        <v>12577084.880851923</v>
      </c>
      <c r="CC34" s="23">
        <f t="shared" si="108"/>
        <v>0</v>
      </c>
      <c r="CD34" s="23">
        <f t="shared" si="108"/>
        <v>410648.7</v>
      </c>
      <c r="CE34" s="23">
        <f t="shared" si="108"/>
        <v>410648.7</v>
      </c>
      <c r="CF34" s="23">
        <f t="shared" si="108"/>
        <v>805615</v>
      </c>
      <c r="CG34" s="23">
        <f t="shared" si="108"/>
        <v>7456877.567192047</v>
      </c>
      <c r="CH34" s="23">
        <f t="shared" si="108"/>
        <v>331261.2</v>
      </c>
      <c r="CI34" s="23">
        <f t="shared" si="108"/>
        <v>729471.6175476884</v>
      </c>
      <c r="CJ34" s="89">
        <f t="shared" si="108"/>
        <v>27.856070115414962</v>
      </c>
      <c r="CK34" s="89">
        <f t="shared" si="108"/>
        <v>27.856070115414962</v>
      </c>
      <c r="CL34" s="89">
        <f t="shared" si="108"/>
        <v>0.150554074389332</v>
      </c>
      <c r="CM34" s="89">
        <f t="shared" si="108"/>
        <v>0.0916561829509252</v>
      </c>
      <c r="CN34" s="89">
        <f t="shared" si="108"/>
        <v>0.10315913507952512</v>
      </c>
      <c r="CO34" s="89">
        <f t="shared" si="108"/>
        <v>0.4227328028485719</v>
      </c>
      <c r="CP34" s="89">
        <f t="shared" si="108"/>
        <v>1</v>
      </c>
      <c r="CQ34" s="89">
        <f t="shared" si="108"/>
        <v>1</v>
      </c>
      <c r="CR34" s="23">
        <f t="shared" si="108"/>
        <v>19.20033777124287</v>
      </c>
      <c r="CS34" s="23">
        <f t="shared" si="108"/>
        <v>222550.94999999995</v>
      </c>
      <c r="CT34" s="23">
        <f t="shared" si="108"/>
        <v>7626129.300000001</v>
      </c>
      <c r="CU34" s="23">
        <f t="shared" si="108"/>
        <v>8036777.999999998</v>
      </c>
      <c r="CV34" s="23">
        <f t="shared" si="108"/>
        <v>410648.6999999974</v>
      </c>
      <c r="CW34" s="23">
        <f t="shared" si="108"/>
        <v>0</v>
      </c>
      <c r="CX34" s="23">
        <f t="shared" si="108"/>
        <v>410648.6999999974</v>
      </c>
      <c r="CY34" s="23">
        <f t="shared" si="108"/>
        <v>8298.699999997392</v>
      </c>
      <c r="CZ34" s="23">
        <f t="shared" si="108"/>
        <v>805615</v>
      </c>
      <c r="DA34" s="23">
        <f t="shared" si="108"/>
        <v>595415.4610895572</v>
      </c>
      <c r="DB34" s="23">
        <f t="shared" si="108"/>
        <v>302008.90306336834</v>
      </c>
      <c r="DC34" s="23">
        <f t="shared" si="108"/>
        <v>0</v>
      </c>
      <c r="DD34" s="23">
        <f t="shared" si="108"/>
        <v>8298.699999997392</v>
      </c>
      <c r="DE34" s="23">
        <f t="shared" si="108"/>
        <v>3795383.857056256</v>
      </c>
      <c r="DF34" s="23">
        <f t="shared" si="108"/>
        <v>243.5125615763546</v>
      </c>
      <c r="DG34" s="23">
        <f t="shared" si="108"/>
        <v>111.98823529411766</v>
      </c>
      <c r="DH34" s="23">
        <f t="shared" si="108"/>
        <v>1056.7696013289035</v>
      </c>
      <c r="DI34" s="23">
        <f t="shared" si="108"/>
        <v>232.46419889502764</v>
      </c>
      <c r="DJ34" s="23">
        <f t="shared" si="108"/>
        <v>240.25036328871883</v>
      </c>
      <c r="DK34" s="23">
        <f t="shared" si="108"/>
        <v>3446.0999999999985</v>
      </c>
      <c r="DL34" s="23">
        <f t="shared" si="108"/>
        <v>86</v>
      </c>
      <c r="DM34" s="24">
        <f>MAX(DM3:DM31)</f>
        <v>524</v>
      </c>
      <c r="DN34" s="25">
        <f>MAX(DN3:DN31)</f>
        <v>0</v>
      </c>
    </row>
    <row r="35" spans="1:118" ht="13.5" thickBot="1">
      <c r="A35" s="30" t="s">
        <v>49</v>
      </c>
      <c r="B35" s="26">
        <f>MEDIAN(B3:B31)</f>
        <v>630</v>
      </c>
      <c r="C35" s="26">
        <f>MEDIAN(C3:C31)</f>
        <v>1550894</v>
      </c>
      <c r="D35" s="27">
        <f>MEDIAN(D3:D31)</f>
        <v>2674.32</v>
      </c>
      <c r="E35" s="27">
        <f>MEDIAN(E3:E31)</f>
        <v>83.93</v>
      </c>
      <c r="F35" s="115">
        <f>MEDIAN(F3:F31)</f>
        <v>10</v>
      </c>
      <c r="G35" s="121">
        <f aca="true" t="shared" si="109" ref="G35:BR35">MEDIAN(G3:G31)</f>
        <v>472263.77368500637</v>
      </c>
      <c r="H35" s="26">
        <f t="shared" si="109"/>
        <v>108155.55379081797</v>
      </c>
      <c r="I35" s="26">
        <f t="shared" si="109"/>
        <v>22364.7</v>
      </c>
      <c r="J35" s="26">
        <f t="shared" si="109"/>
        <v>0</v>
      </c>
      <c r="K35" s="26">
        <f t="shared" si="109"/>
        <v>78816.3</v>
      </c>
      <c r="L35" s="26">
        <f t="shared" si="109"/>
        <v>0</v>
      </c>
      <c r="M35" s="26">
        <f t="shared" si="109"/>
        <v>78816.3</v>
      </c>
      <c r="N35" s="26">
        <f t="shared" si="109"/>
        <v>0</v>
      </c>
      <c r="O35" s="26">
        <f t="shared" si="109"/>
        <v>182821.29894115744</v>
      </c>
      <c r="P35" s="26">
        <f t="shared" si="109"/>
        <v>0</v>
      </c>
      <c r="Q35" s="26">
        <f t="shared" si="109"/>
        <v>0</v>
      </c>
      <c r="R35" s="26">
        <f t="shared" si="109"/>
        <v>0</v>
      </c>
      <c r="S35" s="26">
        <f t="shared" si="109"/>
        <v>0</v>
      </c>
      <c r="T35" s="26">
        <f t="shared" si="109"/>
        <v>0</v>
      </c>
      <c r="U35" s="26">
        <f t="shared" si="109"/>
        <v>0</v>
      </c>
      <c r="V35" s="26">
        <f t="shared" si="109"/>
        <v>0</v>
      </c>
      <c r="W35" s="26">
        <f t="shared" si="109"/>
        <v>0</v>
      </c>
      <c r="X35" s="26">
        <f t="shared" si="109"/>
        <v>0</v>
      </c>
      <c r="Y35" s="26">
        <f t="shared" si="109"/>
        <v>891195.2820481731</v>
      </c>
      <c r="Z35" s="26">
        <f t="shared" si="109"/>
        <v>231361.15</v>
      </c>
      <c r="AA35" s="26">
        <f t="shared" si="109"/>
        <v>8761.7</v>
      </c>
      <c r="AB35" s="26">
        <f t="shared" si="109"/>
        <v>0</v>
      </c>
      <c r="AC35" s="26">
        <f>MEDIAN(AC3:AC31)</f>
        <v>2970.740661686233</v>
      </c>
      <c r="AD35" s="26">
        <f t="shared" si="109"/>
        <v>0</v>
      </c>
      <c r="AE35" s="26">
        <f t="shared" si="109"/>
        <v>241844.67907634308</v>
      </c>
      <c r="AF35" s="26">
        <f t="shared" si="109"/>
        <v>0</v>
      </c>
      <c r="AG35" s="26">
        <f t="shared" si="109"/>
        <v>828.8414703110274</v>
      </c>
      <c r="AH35" s="26">
        <f t="shared" si="109"/>
        <v>0</v>
      </c>
      <c r="AI35" s="26">
        <f t="shared" si="109"/>
        <v>9478.95</v>
      </c>
      <c r="AJ35" s="26">
        <f t="shared" si="109"/>
        <v>265359.6220546654</v>
      </c>
      <c r="AK35" s="26">
        <f t="shared" si="109"/>
        <v>252.72145144076842</v>
      </c>
      <c r="AL35" s="26">
        <f t="shared" si="109"/>
        <v>201670.9</v>
      </c>
      <c r="AM35" s="26">
        <f t="shared" si="109"/>
        <v>0</v>
      </c>
      <c r="AN35" s="26">
        <f t="shared" si="109"/>
        <v>0</v>
      </c>
      <c r="AO35" s="26">
        <f t="shared" si="109"/>
        <v>0</v>
      </c>
      <c r="AP35" s="26">
        <f t="shared" si="109"/>
        <v>0</v>
      </c>
      <c r="AQ35" s="26">
        <f t="shared" si="109"/>
        <v>0</v>
      </c>
      <c r="AR35" s="26">
        <f t="shared" si="109"/>
        <v>0</v>
      </c>
      <c r="AS35" s="26">
        <f t="shared" si="109"/>
        <v>0</v>
      </c>
      <c r="AT35" s="26">
        <f t="shared" si="109"/>
        <v>347.7851083883129</v>
      </c>
      <c r="AU35" s="26">
        <f t="shared" si="109"/>
        <v>780762.1505807895</v>
      </c>
      <c r="AV35" s="26">
        <f t="shared" si="109"/>
        <v>0</v>
      </c>
      <c r="AW35" s="26">
        <f t="shared" si="109"/>
        <v>105698.12</v>
      </c>
      <c r="AX35" s="26">
        <f t="shared" si="109"/>
        <v>0</v>
      </c>
      <c r="AY35" s="26">
        <f t="shared" si="109"/>
        <v>0</v>
      </c>
      <c r="AZ35" s="26">
        <f t="shared" si="109"/>
        <v>0</v>
      </c>
      <c r="BA35" s="26">
        <f t="shared" si="109"/>
        <v>0</v>
      </c>
      <c r="BB35" s="26">
        <f t="shared" si="109"/>
        <v>0</v>
      </c>
      <c r="BC35" s="26">
        <f t="shared" si="109"/>
        <v>0</v>
      </c>
      <c r="BD35" s="26">
        <f t="shared" si="109"/>
        <v>0</v>
      </c>
      <c r="BE35" s="26">
        <f t="shared" si="109"/>
        <v>0</v>
      </c>
      <c r="BF35" s="26">
        <f t="shared" si="109"/>
        <v>0</v>
      </c>
      <c r="BG35" s="26">
        <f t="shared" si="109"/>
        <v>0</v>
      </c>
      <c r="BH35" s="26">
        <f t="shared" si="109"/>
        <v>0</v>
      </c>
      <c r="BI35" s="26">
        <f t="shared" si="109"/>
        <v>0</v>
      </c>
      <c r="BJ35" s="26">
        <f t="shared" si="109"/>
        <v>0</v>
      </c>
      <c r="BK35" s="26">
        <f t="shared" si="109"/>
        <v>0</v>
      </c>
      <c r="BL35" s="26">
        <f t="shared" si="109"/>
        <v>0</v>
      </c>
      <c r="BM35" s="26">
        <f t="shared" si="109"/>
        <v>0</v>
      </c>
      <c r="BN35" s="26">
        <f t="shared" si="109"/>
        <v>0</v>
      </c>
      <c r="BO35" s="26">
        <f t="shared" si="109"/>
        <v>0</v>
      </c>
      <c r="BP35" s="26">
        <f t="shared" si="109"/>
        <v>0</v>
      </c>
      <c r="BQ35" s="26">
        <f t="shared" si="109"/>
        <v>0</v>
      </c>
      <c r="BR35" s="26">
        <f t="shared" si="109"/>
        <v>0</v>
      </c>
      <c r="BS35" s="26">
        <f aca="true" t="shared" si="110" ref="BS35:DL35">MEDIAN(BS3:BS31)</f>
        <v>0</v>
      </c>
      <c r="BT35" s="26">
        <f t="shared" si="110"/>
        <v>374349.7</v>
      </c>
      <c r="BU35" s="26">
        <f t="shared" si="110"/>
        <v>640749.7832233742</v>
      </c>
      <c r="BV35" s="26">
        <f t="shared" si="110"/>
        <v>0</v>
      </c>
      <c r="BW35" s="26">
        <f t="shared" si="110"/>
        <v>17495.62</v>
      </c>
      <c r="BX35" s="26">
        <f t="shared" si="110"/>
        <v>1186752.2000000002</v>
      </c>
      <c r="BY35" s="26">
        <f t="shared" si="110"/>
        <v>988050.6</v>
      </c>
      <c r="BZ35" s="26">
        <f t="shared" si="110"/>
        <v>0</v>
      </c>
      <c r="CA35" s="26">
        <f t="shared" si="110"/>
        <v>0</v>
      </c>
      <c r="CB35" s="26">
        <f t="shared" si="110"/>
        <v>1186752.2</v>
      </c>
      <c r="CC35" s="26">
        <f t="shared" si="110"/>
        <v>0</v>
      </c>
      <c r="CD35" s="26">
        <f t="shared" si="110"/>
        <v>-10210.699999999999</v>
      </c>
      <c r="CE35" s="26">
        <f t="shared" si="110"/>
        <v>-10190.349999999999</v>
      </c>
      <c r="CF35" s="26">
        <f t="shared" si="110"/>
        <v>0</v>
      </c>
      <c r="CG35" s="26">
        <f t="shared" si="110"/>
        <v>771225.573986805</v>
      </c>
      <c r="CH35" s="26">
        <f t="shared" si="110"/>
        <v>18172.213190529874</v>
      </c>
      <c r="CI35" s="26">
        <f t="shared" si="110"/>
        <v>115554</v>
      </c>
      <c r="CJ35" s="90">
        <f t="shared" si="110"/>
        <v>1.6812164520696808</v>
      </c>
      <c r="CK35" s="90">
        <f t="shared" si="110"/>
        <v>1.6778657753482398</v>
      </c>
      <c r="CL35" s="90">
        <f t="shared" si="110"/>
        <v>-0.020896428446084248</v>
      </c>
      <c r="CM35" s="90">
        <f t="shared" si="110"/>
        <v>-0.021894754010078295</v>
      </c>
      <c r="CN35" s="90">
        <f t="shared" si="110"/>
        <v>0.018154804358020516</v>
      </c>
      <c r="CO35" s="90">
        <f t="shared" si="110"/>
        <v>0.13199430370668394</v>
      </c>
      <c r="CP35" s="90">
        <f t="shared" si="110"/>
        <v>0.1211194734763824</v>
      </c>
      <c r="CQ35" s="90">
        <f t="shared" si="110"/>
        <v>0.09960902825247829</v>
      </c>
      <c r="CR35" s="26">
        <f t="shared" si="110"/>
        <v>0.288660056728382</v>
      </c>
      <c r="CS35" s="26">
        <f t="shared" si="110"/>
        <v>-680399.9975987193</v>
      </c>
      <c r="CT35" s="26">
        <f t="shared" si="110"/>
        <v>823083.4431377302</v>
      </c>
      <c r="CU35" s="26">
        <f t="shared" si="110"/>
        <v>780762.1505807895</v>
      </c>
      <c r="CV35" s="26">
        <f t="shared" si="110"/>
        <v>-10210.699999999953</v>
      </c>
      <c r="CW35" s="26">
        <f t="shared" si="110"/>
        <v>0</v>
      </c>
      <c r="CX35" s="26">
        <f t="shared" si="110"/>
        <v>-10210.699999999953</v>
      </c>
      <c r="CY35" s="26">
        <f t="shared" si="110"/>
        <v>-105698.12000000011</v>
      </c>
      <c r="CZ35" s="26">
        <f t="shared" si="110"/>
        <v>0</v>
      </c>
      <c r="DA35" s="26">
        <f t="shared" si="110"/>
        <v>78816.3</v>
      </c>
      <c r="DB35" s="26">
        <f t="shared" si="110"/>
        <v>-42259.99999999977</v>
      </c>
      <c r="DC35" s="26">
        <f t="shared" si="110"/>
        <v>-88360</v>
      </c>
      <c r="DD35" s="26">
        <f t="shared" si="110"/>
        <v>-105698.12000000011</v>
      </c>
      <c r="DE35" s="26">
        <f t="shared" si="110"/>
        <v>238842.47078228087</v>
      </c>
      <c r="DF35" s="26">
        <f t="shared" si="110"/>
        <v>-1129.6485693501452</v>
      </c>
      <c r="DG35" s="26">
        <f t="shared" si="110"/>
        <v>24.3922324705099</v>
      </c>
      <c r="DH35" s="26">
        <f t="shared" si="110"/>
        <v>379.11503298774744</v>
      </c>
      <c r="DI35" s="26">
        <f t="shared" si="110"/>
        <v>0</v>
      </c>
      <c r="DJ35" s="26">
        <f t="shared" si="110"/>
        <v>-43.638723404254925</v>
      </c>
      <c r="DK35" s="26">
        <f t="shared" si="110"/>
        <v>-680399.9975987193</v>
      </c>
      <c r="DL35" s="26">
        <f t="shared" si="110"/>
        <v>10</v>
      </c>
      <c r="DM35" s="27">
        <f>MEDIAN(DM3:DM31)</f>
        <v>35</v>
      </c>
      <c r="DN35" s="28">
        <f>MEDIAN(DN3:DN31)</f>
        <v>0</v>
      </c>
    </row>
    <row r="37" spans="1:119" ht="12.75">
      <c r="A37" s="3" t="s">
        <v>249</v>
      </c>
      <c r="B37" s="16">
        <f>SUM(B3:B31)</f>
        <v>37966</v>
      </c>
      <c r="C37" s="16">
        <f>SUM(C3:C31)</f>
        <v>120978291</v>
      </c>
      <c r="D37" s="16">
        <f>D35</f>
        <v>2674.32</v>
      </c>
      <c r="E37" s="150">
        <f>E35</f>
        <v>83.93</v>
      </c>
      <c r="F37" s="16">
        <f>SUM(F3:F31)</f>
        <v>311</v>
      </c>
      <c r="G37" s="16">
        <f aca="true" t="shared" si="111" ref="G37:BN37">SUM(G3:G31)</f>
        <v>35861028.99</v>
      </c>
      <c r="H37" s="16">
        <f t="shared" si="111"/>
        <v>6495648.7299999995</v>
      </c>
      <c r="I37" s="16">
        <f t="shared" si="111"/>
        <v>1681180.65</v>
      </c>
      <c r="J37" s="16">
        <f t="shared" si="111"/>
        <v>0</v>
      </c>
      <c r="K37" s="16">
        <f t="shared" si="111"/>
        <v>3889843.100000001</v>
      </c>
      <c r="L37" s="16">
        <f t="shared" si="111"/>
        <v>220312.85</v>
      </c>
      <c r="M37" s="16">
        <f t="shared" si="111"/>
        <v>4110155.9500000007</v>
      </c>
      <c r="N37" s="16">
        <f t="shared" si="111"/>
        <v>128.85</v>
      </c>
      <c r="O37" s="16">
        <f t="shared" si="111"/>
        <v>8642736.31</v>
      </c>
      <c r="P37" s="16">
        <f t="shared" si="111"/>
        <v>88374.1</v>
      </c>
      <c r="Q37" s="16">
        <f t="shared" si="111"/>
        <v>3500</v>
      </c>
      <c r="R37" s="16">
        <f t="shared" si="111"/>
        <v>20.35</v>
      </c>
      <c r="S37" s="16">
        <f t="shared" si="111"/>
        <v>0</v>
      </c>
      <c r="T37" s="16">
        <f t="shared" si="111"/>
        <v>100000</v>
      </c>
      <c r="U37" s="16">
        <f t="shared" si="111"/>
        <v>0</v>
      </c>
      <c r="V37" s="16">
        <f t="shared" si="111"/>
        <v>0</v>
      </c>
      <c r="W37" s="16">
        <f t="shared" si="111"/>
        <v>100020.35</v>
      </c>
      <c r="X37" s="16">
        <f t="shared" si="111"/>
        <v>3824715.7000000007</v>
      </c>
      <c r="Y37" s="16">
        <f t="shared" si="111"/>
        <v>60807489.629999995</v>
      </c>
      <c r="Z37" s="16">
        <f t="shared" si="111"/>
        <v>16621313.899999999</v>
      </c>
      <c r="AA37" s="16">
        <f t="shared" si="111"/>
        <v>1686154.9000000001</v>
      </c>
      <c r="AB37" s="16">
        <f t="shared" si="111"/>
        <v>9673.2</v>
      </c>
      <c r="AC37" s="16">
        <f t="shared" si="111"/>
        <v>218765.74999999997</v>
      </c>
      <c r="AD37" s="16">
        <f t="shared" si="111"/>
        <v>0</v>
      </c>
      <c r="AE37" s="16">
        <f t="shared" si="111"/>
        <v>18535907.75</v>
      </c>
      <c r="AF37" s="16">
        <f t="shared" si="111"/>
        <v>0</v>
      </c>
      <c r="AG37" s="16">
        <f t="shared" si="111"/>
        <v>346343.25</v>
      </c>
      <c r="AH37" s="16">
        <f t="shared" si="111"/>
        <v>0</v>
      </c>
      <c r="AI37" s="16">
        <f t="shared" si="111"/>
        <v>781276.5999999999</v>
      </c>
      <c r="AJ37" s="16">
        <f t="shared" si="111"/>
        <v>14900297.450000003</v>
      </c>
      <c r="AK37" s="16">
        <f t="shared" si="111"/>
        <v>3038648.4</v>
      </c>
      <c r="AL37" s="16">
        <f t="shared" si="111"/>
        <v>15103618.749999998</v>
      </c>
      <c r="AM37" s="16">
        <f t="shared" si="111"/>
        <v>2034.5</v>
      </c>
      <c r="AN37" s="16">
        <f t="shared" si="111"/>
        <v>0</v>
      </c>
      <c r="AO37" s="16">
        <f t="shared" si="111"/>
        <v>0</v>
      </c>
      <c r="AP37" s="16">
        <f t="shared" si="111"/>
        <v>227579.6</v>
      </c>
      <c r="AQ37" s="16">
        <f t="shared" si="111"/>
        <v>4500</v>
      </c>
      <c r="AR37" s="16">
        <f t="shared" si="111"/>
        <v>0</v>
      </c>
      <c r="AS37" s="16">
        <f t="shared" si="111"/>
        <v>232079.6</v>
      </c>
      <c r="AT37" s="16">
        <f t="shared" si="111"/>
        <v>4128368.28</v>
      </c>
      <c r="AU37" s="16">
        <f t="shared" si="111"/>
        <v>57068574.580000006</v>
      </c>
      <c r="AV37" s="16">
        <f t="shared" si="111"/>
        <v>15604</v>
      </c>
      <c r="AW37" s="16">
        <f t="shared" si="111"/>
        <v>3754518.9699999997</v>
      </c>
      <c r="AX37" s="4">
        <f>Y37-AU37+AV37-AW37</f>
        <v>0.07999998982995749</v>
      </c>
      <c r="AY37" s="16">
        <f t="shared" si="111"/>
        <v>41881.15</v>
      </c>
      <c r="AZ37" s="16">
        <f t="shared" si="111"/>
        <v>2918520.65</v>
      </c>
      <c r="BA37" s="16">
        <f t="shared" si="111"/>
        <v>59041.99999999999</v>
      </c>
      <c r="BB37" s="16">
        <f t="shared" si="111"/>
        <v>0</v>
      </c>
      <c r="BC37" s="16">
        <f t="shared" si="111"/>
        <v>11294.5</v>
      </c>
      <c r="BD37" s="16">
        <f t="shared" si="111"/>
        <v>1980.1</v>
      </c>
      <c r="BE37" s="16">
        <f t="shared" si="111"/>
        <v>32667</v>
      </c>
      <c r="BF37" s="16">
        <f t="shared" si="111"/>
        <v>3023504.25</v>
      </c>
      <c r="BG37" s="16">
        <f t="shared" si="111"/>
        <v>47006.8</v>
      </c>
      <c r="BH37" s="16">
        <f t="shared" si="111"/>
        <v>0</v>
      </c>
      <c r="BI37" s="16">
        <f t="shared" si="111"/>
        <v>3735</v>
      </c>
      <c r="BJ37" s="16">
        <f t="shared" si="111"/>
        <v>0</v>
      </c>
      <c r="BK37" s="16">
        <f t="shared" si="111"/>
        <v>14551</v>
      </c>
      <c r="BL37" s="16">
        <f t="shared" si="111"/>
        <v>33185.99999999999</v>
      </c>
      <c r="BM37" s="16">
        <f t="shared" si="111"/>
        <v>1019672.7</v>
      </c>
      <c r="BN37" s="16">
        <f t="shared" si="111"/>
        <v>0</v>
      </c>
      <c r="BO37" s="16">
        <f>SUM(BO3:BO31)</f>
        <v>1118151.5</v>
      </c>
      <c r="BP37" s="16">
        <f>SUM(BP3:BP31)</f>
        <v>1118151.5</v>
      </c>
      <c r="BQ37" s="16">
        <f>SUM(BQ3:BQ31)</f>
        <v>0</v>
      </c>
      <c r="BR37" s="16">
        <f>SUM(BR3:BR31)</f>
        <v>3023504.25</v>
      </c>
      <c r="BS37" s="41">
        <f>+BF37-BO37+BP37+BQ37-BR37</f>
        <v>0</v>
      </c>
      <c r="BT37" s="16">
        <f aca="true" t="shared" si="112" ref="BT37:CB37">SUM(BT3:BT31)</f>
        <v>25887308.279999997</v>
      </c>
      <c r="BU37" s="16">
        <f t="shared" si="112"/>
        <v>36844408.25</v>
      </c>
      <c r="BV37" s="16">
        <f t="shared" si="112"/>
        <v>0</v>
      </c>
      <c r="BW37" s="16">
        <f t="shared" si="112"/>
        <v>3246010.1900000004</v>
      </c>
      <c r="BX37" s="16">
        <f t="shared" si="112"/>
        <v>65977726.72</v>
      </c>
      <c r="BY37" s="16">
        <f t="shared" si="112"/>
        <v>62187770.07999999</v>
      </c>
      <c r="BZ37" s="16">
        <f t="shared" si="112"/>
        <v>1160229.05</v>
      </c>
      <c r="CA37" s="16">
        <f t="shared" si="112"/>
        <v>2629727.59</v>
      </c>
      <c r="CB37" s="16">
        <f t="shared" si="112"/>
        <v>65977726.72</v>
      </c>
      <c r="CC37" s="4">
        <f>BX37-CB37</f>
        <v>0</v>
      </c>
      <c r="CD37" s="70">
        <f>K37+L37+AV37-AW37</f>
        <v>371240.9800000014</v>
      </c>
      <c r="CE37" s="72">
        <f>CD37+W37-AS37</f>
        <v>239181.73000000135</v>
      </c>
      <c r="CF37" s="72">
        <f>BR37-BP37</f>
        <v>1905352.75</v>
      </c>
      <c r="CG37" s="72">
        <f>AU37-AM37-AT37-AS37</f>
        <v>52706092.2</v>
      </c>
      <c r="CH37" s="72">
        <f>I37-AG37+AY37+AH37+BQ37</f>
        <v>1376718.5499999998</v>
      </c>
      <c r="CI37" s="35">
        <f>CH37+K37</f>
        <v>5266561.65</v>
      </c>
      <c r="CJ37" s="57">
        <f>CD37/CF37</f>
        <v>0.1948410760159773</v>
      </c>
      <c r="CK37" s="140">
        <f>CE37/CF37</f>
        <v>0.12553146917283498</v>
      </c>
      <c r="CL37" s="62">
        <f>CD37/CG37*1</f>
        <v>0.007043606621247503</v>
      </c>
      <c r="CM37" s="62">
        <f>CE37/CG37</f>
        <v>0.004538028148480364</v>
      </c>
      <c r="CN37" s="62">
        <f>CH37/CG37</f>
        <v>0.0261206720615117</v>
      </c>
      <c r="CO37" s="62">
        <f>CI37/CG37</f>
        <v>0.09992320489281123</v>
      </c>
      <c r="CP37" s="62">
        <f>(K37+L37)/(BU37+K37+L37)</f>
        <v>0.10035892287678161</v>
      </c>
      <c r="CQ37" s="62">
        <f>(K37)/(BU37+K37+L37)</f>
        <v>0.09497947728131363</v>
      </c>
      <c r="CR37" s="71">
        <f>CS37/CE37</f>
        <v>-151.7693755288073</v>
      </c>
      <c r="CS37" s="72">
        <f>BT37-BY37</f>
        <v>-36300461.8</v>
      </c>
      <c r="CT37" s="76">
        <f>Y37-K37-L37-V37</f>
        <v>56697333.67999999</v>
      </c>
      <c r="CU37" s="76">
        <f>AU37-AR37</f>
        <v>57068574.580000006</v>
      </c>
      <c r="CV37" s="76">
        <f>CU37-CT37</f>
        <v>371240.9000000134</v>
      </c>
      <c r="CW37" s="76">
        <f>-V37+AR37</f>
        <v>0</v>
      </c>
      <c r="CX37" s="76">
        <f>CV37+CW37</f>
        <v>371240.9000000134</v>
      </c>
      <c r="CY37" s="76">
        <f>CX37-K37-L37</f>
        <v>-3738915.0499999877</v>
      </c>
      <c r="CZ37" s="76">
        <f>BR37-BP37</f>
        <v>1905352.75</v>
      </c>
      <c r="DA37" s="76">
        <f>K37+L37</f>
        <v>4110155.950000001</v>
      </c>
      <c r="DB37" s="76">
        <f>-CZ37+DA37+CY37</f>
        <v>-1534111.8499999866</v>
      </c>
      <c r="DC37" s="76">
        <f>-BP37-DA37</f>
        <v>-5228307.450000001</v>
      </c>
      <c r="DD37" s="76">
        <f>DB37+DC37+BR37</f>
        <v>-3738915.0499999877</v>
      </c>
      <c r="DE37" s="76">
        <f>Z37+AA37+AB37</f>
        <v>18317141.999999996</v>
      </c>
      <c r="DF37" s="76">
        <f>CS37/B37</f>
        <v>-956.1307959753462</v>
      </c>
      <c r="DG37" s="76">
        <f>CH37/B37</f>
        <v>36.26188036664384</v>
      </c>
      <c r="DH37" s="76">
        <f>DE37/B37</f>
        <v>482.4617289153452</v>
      </c>
      <c r="DI37" s="77">
        <f>CZ37/B37</f>
        <v>50.185764894905965</v>
      </c>
      <c r="DJ37" s="72">
        <f>DB37/B37</f>
        <v>-40.407518569245816</v>
      </c>
      <c r="DK37" s="151">
        <f>CA37-BW37-BU37</f>
        <v>-37460690.85</v>
      </c>
      <c r="DL37" s="136">
        <f>SUM(DL32)</f>
        <v>595</v>
      </c>
      <c r="DM37" s="136">
        <f>SUM(DM32)</f>
        <v>2764</v>
      </c>
      <c r="DN37" s="139"/>
      <c r="DO37" s="65"/>
    </row>
    <row r="38" spans="2:6" ht="12.75">
      <c r="B38" s="8"/>
      <c r="C38" s="8"/>
      <c r="D38" s="8"/>
      <c r="E38" s="8"/>
      <c r="F38" s="113"/>
    </row>
    <row r="40" spans="1:118" ht="12.75">
      <c r="A40" s="50" t="s">
        <v>13</v>
      </c>
      <c r="B40" s="41">
        <v>3937</v>
      </c>
      <c r="C40" s="4">
        <v>13719689</v>
      </c>
      <c r="D40" s="32">
        <v>3484.81</v>
      </c>
      <c r="E40" s="32">
        <v>109.36</v>
      </c>
      <c r="F40" s="8">
        <v>9</v>
      </c>
      <c r="G40" s="129">
        <v>4812711</v>
      </c>
      <c r="H40" s="41">
        <v>670132</v>
      </c>
      <c r="I40" s="41">
        <v>95398</v>
      </c>
      <c r="J40" s="41">
        <v>0</v>
      </c>
      <c r="K40" s="41">
        <v>398000</v>
      </c>
      <c r="L40" s="41">
        <v>615</v>
      </c>
      <c r="M40" s="41">
        <f>SUM(K40:L40)</f>
        <v>398615</v>
      </c>
      <c r="N40" s="41">
        <v>0</v>
      </c>
      <c r="O40" s="41">
        <v>485104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1350370</v>
      </c>
      <c r="Y40" s="41">
        <f>SUM(G40:X40)-M40-W40</f>
        <v>7812330</v>
      </c>
      <c r="Z40" s="41">
        <v>1385924</v>
      </c>
      <c r="AA40" s="41">
        <v>335269</v>
      </c>
      <c r="AB40" s="41">
        <v>0</v>
      </c>
      <c r="AC40" s="41">
        <v>33471</v>
      </c>
      <c r="AD40" s="41">
        <v>0</v>
      </c>
      <c r="AE40" s="41">
        <f>SUM(Z40:AD40)</f>
        <v>1754664</v>
      </c>
      <c r="AF40" s="41">
        <v>0</v>
      </c>
      <c r="AG40" s="41">
        <v>2819</v>
      </c>
      <c r="AH40" s="41">
        <v>0</v>
      </c>
      <c r="AI40" s="41">
        <v>66091</v>
      </c>
      <c r="AJ40" s="41">
        <v>2123218</v>
      </c>
      <c r="AK40" s="41">
        <v>500556</v>
      </c>
      <c r="AL40" s="41">
        <v>2030216</v>
      </c>
      <c r="AM40" s="41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1350370</v>
      </c>
      <c r="AU40" s="4">
        <f>SUM(Z40:AT40)-AE40-AH40-AS40</f>
        <v>7827934</v>
      </c>
      <c r="AV40" s="4">
        <v>15604</v>
      </c>
      <c r="AW40" s="4">
        <v>0</v>
      </c>
      <c r="AX40" s="4">
        <f>Y40-AU40+AV40-AW40</f>
        <v>0</v>
      </c>
      <c r="AY40" s="41">
        <v>0</v>
      </c>
      <c r="AZ40" s="41">
        <v>955265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f>SUM(AZ40:BE40)</f>
        <v>955265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149650</v>
      </c>
      <c r="BN40" s="41">
        <v>0</v>
      </c>
      <c r="BO40" s="41">
        <f>SUM(BG40:BN40)</f>
        <v>149650</v>
      </c>
      <c r="BP40" s="41">
        <v>149650</v>
      </c>
      <c r="BQ40" s="41">
        <v>0</v>
      </c>
      <c r="BR40" s="41">
        <v>955265</v>
      </c>
      <c r="BS40" s="41">
        <f>+BF40-BO40+BP40+BQ40-BR40</f>
        <v>0</v>
      </c>
      <c r="BT40" s="4">
        <v>2427695</v>
      </c>
      <c r="BU40" s="4">
        <v>2479000</v>
      </c>
      <c r="BV40" s="4">
        <v>0</v>
      </c>
      <c r="BW40" s="4">
        <v>0</v>
      </c>
      <c r="BX40" s="4">
        <f>SUM(BT40:BW40)</f>
        <v>4906695</v>
      </c>
      <c r="BY40" s="4">
        <v>4673371</v>
      </c>
      <c r="BZ40" s="4">
        <v>0</v>
      </c>
      <c r="CA40" s="4">
        <v>233324</v>
      </c>
      <c r="CB40" s="4">
        <f>SUM(BY40:CA40)</f>
        <v>4906695</v>
      </c>
      <c r="CC40" s="4">
        <f>BX40-CB40</f>
        <v>0</v>
      </c>
      <c r="CD40" s="70">
        <f>K40+L40+AV40-AW40</f>
        <v>414219</v>
      </c>
      <c r="CE40" s="72">
        <f>CD40+W40-AS40</f>
        <v>414219</v>
      </c>
      <c r="CF40" s="72">
        <f>BR40-BP40</f>
        <v>805615</v>
      </c>
      <c r="CG40" s="72">
        <f>AU40-AM40-AT40-AS40</f>
        <v>6477564</v>
      </c>
      <c r="CH40" s="72">
        <f>I40-AG40+AY40+AH40+BQ40</f>
        <v>92579</v>
      </c>
      <c r="CI40" s="35">
        <f>CH40+K40</f>
        <v>490579</v>
      </c>
      <c r="CJ40" s="57">
        <f>IF(CF40=0,"-",(CD40/CF40))</f>
        <v>0.5141649547240307</v>
      </c>
      <c r="CK40" s="57">
        <f>IF(CF40=0,"-",(CE40/CF40))</f>
        <v>0.5141649547240307</v>
      </c>
      <c r="CL40" s="148">
        <f>IF(CG40=0,"-",(CD40/CG40*1))</f>
        <v>0.06394672441677149</v>
      </c>
      <c r="CM40" s="148">
        <f>IF(CE40=0,"-",(CE40/CG40))</f>
        <v>0.06394672441677149</v>
      </c>
      <c r="CN40" s="148">
        <f>IF(CG40=0,"-",(CH40/CG40))</f>
        <v>0.014292255545448876</v>
      </c>
      <c r="CO40" s="148">
        <f>IF(CG40=0,"-",(CI40/CG40))</f>
        <v>0.07573510659254004</v>
      </c>
      <c r="CP40" s="148">
        <f>IF(BU40+K40+L40=0,"-",((K40+L40)/(BU40+K40+L40)))</f>
        <v>0.13852270022223265</v>
      </c>
      <c r="CQ40" s="148">
        <f>IF(BU40+K40+L40=0,"-",((K40)/(BU40+K40+L40)))</f>
        <v>0.13830898156980695</v>
      </c>
      <c r="CR40" s="149">
        <f>IF(CE40=0,"-",(CS40/CE40))</f>
        <v>-5.421470285042453</v>
      </c>
      <c r="CS40" s="72">
        <f>BT40-BY40</f>
        <v>-2245676</v>
      </c>
      <c r="CT40" s="76">
        <f>Y40-K40-L40-V40</f>
        <v>7413715</v>
      </c>
      <c r="CU40" s="76">
        <f>AU40-AR40</f>
        <v>7827934</v>
      </c>
      <c r="CV40" s="76">
        <f>CU40-CT40</f>
        <v>414219</v>
      </c>
      <c r="CW40" s="76">
        <f>-V40+AR40</f>
        <v>0</v>
      </c>
      <c r="CX40" s="76">
        <f>CV40+CW40</f>
        <v>414219</v>
      </c>
      <c r="CY40" s="76">
        <f>CX40-K40-L40</f>
        <v>15604</v>
      </c>
      <c r="CZ40" s="76">
        <f>BR40-BP40</f>
        <v>805615</v>
      </c>
      <c r="DA40" s="76">
        <f>K40+L40</f>
        <v>398615</v>
      </c>
      <c r="DB40" s="76">
        <f>-CZ40+DA40+CY40</f>
        <v>-391396</v>
      </c>
      <c r="DC40" s="76">
        <f>-BP40-DA40</f>
        <v>-548265</v>
      </c>
      <c r="DD40" s="76">
        <f>DB40+DC40+BR40</f>
        <v>15604</v>
      </c>
      <c r="DE40" s="76">
        <f>Z40+AA40+AB40</f>
        <v>1721193</v>
      </c>
      <c r="DF40" s="76">
        <f>CS40/B40</f>
        <v>-570.4028448056896</v>
      </c>
      <c r="DG40" s="76">
        <f>CH40/B40</f>
        <v>23.51511303022606</v>
      </c>
      <c r="DH40" s="76">
        <f>DE40/B40</f>
        <v>437.1838963677927</v>
      </c>
      <c r="DI40" s="77">
        <f>CZ40/B40</f>
        <v>204.62661925323852</v>
      </c>
      <c r="DJ40" s="72">
        <f>DB40/B40</f>
        <v>-99.41478282956565</v>
      </c>
      <c r="DK40" s="151">
        <f>CA40-BW40-BU40</f>
        <v>-2245676</v>
      </c>
      <c r="DL40" s="72">
        <v>86</v>
      </c>
      <c r="DM40" s="72">
        <v>507</v>
      </c>
      <c r="DN40" s="132">
        <v>0</v>
      </c>
    </row>
    <row r="41" spans="1:118" ht="12.75">
      <c r="A41" s="50" t="s">
        <v>218</v>
      </c>
      <c r="B41" s="41">
        <v>3937</v>
      </c>
      <c r="C41" s="4">
        <v>13719689</v>
      </c>
      <c r="D41" s="32">
        <v>3484.81</v>
      </c>
      <c r="E41" s="32">
        <v>109.36</v>
      </c>
      <c r="F41" s="8">
        <v>16</v>
      </c>
      <c r="G41" s="129">
        <v>163996.4</v>
      </c>
      <c r="H41" s="41">
        <v>19926.4</v>
      </c>
      <c r="I41" s="41">
        <v>2857</v>
      </c>
      <c r="J41" s="41">
        <v>0</v>
      </c>
      <c r="K41" s="41">
        <v>3735</v>
      </c>
      <c r="L41" s="41">
        <v>0</v>
      </c>
      <c r="M41" s="41">
        <f>SUM(K41:L41)</f>
        <v>3735</v>
      </c>
      <c r="N41" s="41">
        <v>128.85</v>
      </c>
      <c r="O41" s="41">
        <v>20426.2</v>
      </c>
      <c r="P41" s="41">
        <v>1579.45</v>
      </c>
      <c r="Q41" s="41">
        <v>3500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216149.30000000002</v>
      </c>
      <c r="Z41" s="41">
        <v>107836.2</v>
      </c>
      <c r="AA41" s="41">
        <v>15023.25</v>
      </c>
      <c r="AB41" s="41">
        <v>9673.2</v>
      </c>
      <c r="AC41" s="41">
        <v>0</v>
      </c>
      <c r="AD41" s="41">
        <v>0</v>
      </c>
      <c r="AE41" s="41">
        <f>SUM(Z41:AD41)</f>
        <v>132532.65</v>
      </c>
      <c r="AF41" s="41">
        <v>0</v>
      </c>
      <c r="AG41" s="41">
        <v>155.15</v>
      </c>
      <c r="AH41" s="41">
        <v>0</v>
      </c>
      <c r="AI41" s="41">
        <v>0</v>
      </c>
      <c r="AJ41" s="41">
        <v>0</v>
      </c>
      <c r="AK41" s="41">
        <v>740.7</v>
      </c>
      <c r="AL41" s="41">
        <v>73381</v>
      </c>
      <c r="AM41" s="41">
        <v>2034.5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208844.00000000003</v>
      </c>
      <c r="AV41" s="4">
        <v>0</v>
      </c>
      <c r="AW41" s="4">
        <v>7305.3</v>
      </c>
      <c r="AX41" s="4">
        <f>Y41-AU41+AV41-AW41</f>
        <v>-1.1823431123048067E-11</v>
      </c>
      <c r="AY41" s="41">
        <v>0</v>
      </c>
      <c r="AZ41" s="41">
        <v>41427.2</v>
      </c>
      <c r="BA41" s="41">
        <v>0</v>
      </c>
      <c r="BB41" s="41">
        <v>0</v>
      </c>
      <c r="BC41" s="41">
        <v>11294.5</v>
      </c>
      <c r="BD41" s="41">
        <v>1980.1</v>
      </c>
      <c r="BE41" s="41">
        <v>0</v>
      </c>
      <c r="BF41" s="41">
        <f>SUM(AZ41:BE41)</f>
        <v>54701.799999999996</v>
      </c>
      <c r="BG41" s="41">
        <v>47006.8</v>
      </c>
      <c r="BH41" s="41">
        <v>0</v>
      </c>
      <c r="BI41" s="41">
        <v>3735</v>
      </c>
      <c r="BJ41" s="41">
        <v>0</v>
      </c>
      <c r="BK41" s="41">
        <v>3000</v>
      </c>
      <c r="BL41" s="41">
        <v>0</v>
      </c>
      <c r="BM41" s="41">
        <v>960</v>
      </c>
      <c r="BN41" s="41">
        <v>0</v>
      </c>
      <c r="BO41" s="41">
        <f>SUM(BG41:BN41)</f>
        <v>54701.8</v>
      </c>
      <c r="BP41" s="41">
        <v>54701.8</v>
      </c>
      <c r="BQ41" s="41">
        <v>0</v>
      </c>
      <c r="BR41" s="41">
        <v>54701.8</v>
      </c>
      <c r="BS41" s="41">
        <f>+BF41-BO41+BP41+BQ41-BR41</f>
        <v>0</v>
      </c>
      <c r="BT41" s="4">
        <v>102.25</v>
      </c>
      <c r="BU41" s="4">
        <v>10204.9</v>
      </c>
      <c r="BV41" s="4">
        <v>0</v>
      </c>
      <c r="BW41" s="4">
        <v>7305.3</v>
      </c>
      <c r="BX41" s="4">
        <f>SUM(BT41:BW41)</f>
        <v>17612.45</v>
      </c>
      <c r="BY41" s="4">
        <v>10188.2</v>
      </c>
      <c r="BZ41" s="4">
        <v>0</v>
      </c>
      <c r="CA41" s="4">
        <v>7424.25</v>
      </c>
      <c r="CB41" s="4">
        <f>SUM(BY41:CA41)</f>
        <v>17612.45</v>
      </c>
      <c r="CC41" s="4">
        <f>BX41-CB41</f>
        <v>0</v>
      </c>
      <c r="CD41" s="70">
        <f>K41+L41+AV41-AW41</f>
        <v>-3570.3</v>
      </c>
      <c r="CE41" s="72">
        <f>CD41+W41-AS41</f>
        <v>-3570.3</v>
      </c>
      <c r="CF41" s="72">
        <f>BR41-BP41</f>
        <v>0</v>
      </c>
      <c r="CG41" s="72">
        <f>AU41-AM41-AT41-AS41</f>
        <v>206809.50000000003</v>
      </c>
      <c r="CH41" s="72">
        <f>I41-AG41+AY41+AH41+BQ41</f>
        <v>2701.85</v>
      </c>
      <c r="CI41" s="35">
        <f>CH41+K41</f>
        <v>6436.85</v>
      </c>
      <c r="CJ41" s="57" t="str">
        <f>IF(CF41=0,"-",(CD41/CF41))</f>
        <v>-</v>
      </c>
      <c r="CK41" s="57" t="str">
        <f>IF(CF41=0,"-",(CE41/CF41))</f>
        <v>-</v>
      </c>
      <c r="CL41" s="148">
        <f>IF(CG41=0,"-",(CD41/CG41*1))</f>
        <v>-0.017263713707542448</v>
      </c>
      <c r="CM41" s="148">
        <f>IF(CE41=0,"-",(CE41/CG41))</f>
        <v>-0.017263713707542448</v>
      </c>
      <c r="CN41" s="148">
        <f>IF(CG41=0,"-",(CH41/CG41))</f>
        <v>0.013064438529177816</v>
      </c>
      <c r="CO41" s="148">
        <f>IF(CG41=0,"-",(CI41/CG41))</f>
        <v>0.031124537315742263</v>
      </c>
      <c r="CP41" s="148">
        <f>IF(BU41+K41+L41=0,"-",((K41+L41)/(BU41+K41+L41)))</f>
        <v>0.2679359249348991</v>
      </c>
      <c r="CQ41" s="148">
        <f>IF(BU41+K41+L41=0,"-",((K41)/(BU41+K41+L41)))</f>
        <v>0.2679359249348991</v>
      </c>
      <c r="CR41" s="149">
        <f>IF(CE41=0,"-",(CS41/CE41))</f>
        <v>2.8249586869450747</v>
      </c>
      <c r="CS41" s="72">
        <f>BT41-BY41</f>
        <v>-10085.95</v>
      </c>
      <c r="CT41" s="76">
        <f>Y41-K41-L41-V41</f>
        <v>212414.30000000002</v>
      </c>
      <c r="CU41" s="76">
        <f>AU41-AR41</f>
        <v>208844.00000000003</v>
      </c>
      <c r="CV41" s="76">
        <f>CU41-CT41</f>
        <v>-3570.2999999999884</v>
      </c>
      <c r="CW41" s="76">
        <f>-V41+AR41</f>
        <v>0</v>
      </c>
      <c r="CX41" s="76">
        <f>CV41+CW41</f>
        <v>-3570.2999999999884</v>
      </c>
      <c r="CY41" s="76">
        <f>CX41-K41-L41</f>
        <v>-7305.299999999988</v>
      </c>
      <c r="CZ41" s="76">
        <f>BR41-BP41</f>
        <v>0</v>
      </c>
      <c r="DA41" s="76">
        <f>K41+L41</f>
        <v>3735</v>
      </c>
      <c r="DB41" s="76">
        <f>-CZ41+DA41+CY41</f>
        <v>-3570.2999999999884</v>
      </c>
      <c r="DC41" s="76">
        <f>-BP41-DA41</f>
        <v>-58436.8</v>
      </c>
      <c r="DD41" s="76">
        <f>DB41+DC41+BR41</f>
        <v>-7305.299999999988</v>
      </c>
      <c r="DE41" s="76">
        <f>Z41+AA41+AB41</f>
        <v>132532.65</v>
      </c>
      <c r="DF41" s="76">
        <f>CS41/B41</f>
        <v>-2.5618364236728475</v>
      </c>
      <c r="DG41" s="76">
        <f>CH41/B41</f>
        <v>0.686271272542545</v>
      </c>
      <c r="DH41" s="76">
        <f>DE41/B41</f>
        <v>33.66336042672085</v>
      </c>
      <c r="DI41" s="77">
        <f>CZ41/B41</f>
        <v>0</v>
      </c>
      <c r="DJ41" s="72">
        <f>DB41/B41</f>
        <v>-0.9068580137160245</v>
      </c>
      <c r="DK41" s="151">
        <f>CA41-BW41-BU41</f>
        <v>-10085.95</v>
      </c>
      <c r="DL41" s="72">
        <v>0</v>
      </c>
      <c r="DM41" s="72">
        <v>17</v>
      </c>
      <c r="DN41" s="63">
        <v>0</v>
      </c>
    </row>
    <row r="42" spans="1:118" ht="12.75">
      <c r="A42" s="3" t="s">
        <v>220</v>
      </c>
      <c r="B42" s="134">
        <f>B11+B27</f>
        <v>6186</v>
      </c>
      <c r="C42" s="146">
        <f>C11+C27</f>
        <v>23478981</v>
      </c>
      <c r="D42" s="145">
        <f>D11+D27</f>
        <v>6661.610000000001</v>
      </c>
      <c r="E42" s="145">
        <f>((E11*B11)+(E27*B27))/B42</f>
        <v>119.11270287746525</v>
      </c>
      <c r="F42" s="146">
        <f>F11</f>
        <v>14</v>
      </c>
      <c r="G42" s="129">
        <v>4804133.55</v>
      </c>
      <c r="H42" s="41">
        <v>1053622.45</v>
      </c>
      <c r="I42" s="41">
        <v>379506.4</v>
      </c>
      <c r="J42" s="41">
        <v>0</v>
      </c>
      <c r="K42" s="41">
        <v>663527.3</v>
      </c>
      <c r="L42" s="41">
        <v>0</v>
      </c>
      <c r="M42" s="41">
        <f>SUM(K42:L42)</f>
        <v>663527.3</v>
      </c>
      <c r="N42" s="41">
        <v>0</v>
      </c>
      <c r="O42" s="41">
        <v>1780996.15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8681785.85</v>
      </c>
      <c r="Z42" s="41">
        <v>4013244.35</v>
      </c>
      <c r="AA42" s="41">
        <v>216307.9</v>
      </c>
      <c r="AB42" s="41">
        <v>0</v>
      </c>
      <c r="AC42" s="41">
        <v>34319.2</v>
      </c>
      <c r="AD42" s="41">
        <v>0</v>
      </c>
      <c r="AE42" s="41">
        <f>SUM(Z42:AD42)</f>
        <v>4263871.45</v>
      </c>
      <c r="AF42" s="41">
        <v>0</v>
      </c>
      <c r="AG42" s="41">
        <v>230115.05</v>
      </c>
      <c r="AH42" s="41">
        <v>0</v>
      </c>
      <c r="AI42" s="41">
        <v>215389.65</v>
      </c>
      <c r="AJ42" s="41">
        <v>1695475.7</v>
      </c>
      <c r="AK42" s="41">
        <v>64035.2</v>
      </c>
      <c r="AL42" s="41">
        <v>1841011.1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127327</v>
      </c>
      <c r="AU42" s="4">
        <f>SUM(Z42:AT42)-AE42-AH42-AS42</f>
        <v>8437225.149999999</v>
      </c>
      <c r="AV42" s="4">
        <v>0</v>
      </c>
      <c r="AW42" s="4">
        <v>244560.7</v>
      </c>
      <c r="AX42" s="4">
        <f>Y42-AU42+AV42-AW42</f>
        <v>1.1059455573558807E-09</v>
      </c>
      <c r="AY42" s="41">
        <v>0</v>
      </c>
      <c r="AZ42" s="41">
        <v>34918.75</v>
      </c>
      <c r="BA42" s="41">
        <v>59042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93960.75</v>
      </c>
      <c r="BG42" s="41">
        <v>0</v>
      </c>
      <c r="BH42" s="41">
        <v>0</v>
      </c>
      <c r="BI42" s="41">
        <v>0</v>
      </c>
      <c r="BJ42" s="41">
        <v>0</v>
      </c>
      <c r="BK42" s="41">
        <v>11551</v>
      </c>
      <c r="BL42" s="41">
        <v>0</v>
      </c>
      <c r="BM42" s="41">
        <v>0</v>
      </c>
      <c r="BN42" s="41">
        <v>0</v>
      </c>
      <c r="BO42" s="41">
        <f>SUM(BG42:BN42)</f>
        <v>11551</v>
      </c>
      <c r="BP42" s="41">
        <v>11551</v>
      </c>
      <c r="BQ42" s="41">
        <v>0</v>
      </c>
      <c r="BR42" s="41">
        <v>93960.75</v>
      </c>
      <c r="BS42" s="41">
        <f>+BF42-BO42+BP42+BQ42-BR42</f>
        <v>0</v>
      </c>
      <c r="BT42" s="4">
        <v>6550779.3</v>
      </c>
      <c r="BU42" s="4">
        <v>7465046.15</v>
      </c>
      <c r="BV42" s="4">
        <v>0</v>
      </c>
      <c r="BW42" s="4">
        <v>0</v>
      </c>
      <c r="BX42" s="4">
        <f>SUM(BT42:BW42)</f>
        <v>14015825.45</v>
      </c>
      <c r="BY42" s="4">
        <v>13538785.35</v>
      </c>
      <c r="BZ42" s="4">
        <v>0</v>
      </c>
      <c r="CA42" s="4">
        <v>477040.1</v>
      </c>
      <c r="CB42" s="4">
        <f>SUM(BY42:CA42)</f>
        <v>14015825.45</v>
      </c>
      <c r="CC42" s="4">
        <f>BX42-CB42</f>
        <v>0</v>
      </c>
      <c r="CD42" s="70">
        <f>K42+L42+AV42-AW42</f>
        <v>418966.60000000003</v>
      </c>
      <c r="CE42" s="72">
        <f>CD42+W42-AS42</f>
        <v>418966.60000000003</v>
      </c>
      <c r="CF42" s="72">
        <f>BR42-BP42</f>
        <v>82409.75</v>
      </c>
      <c r="CG42" s="72">
        <f>AU42-AM42-AT42-AS42</f>
        <v>8309898.1499999985</v>
      </c>
      <c r="CH42" s="72">
        <f>I42-AG42+AY42+AH42+BQ42</f>
        <v>149391.35000000003</v>
      </c>
      <c r="CI42" s="35">
        <f>CH42+K42</f>
        <v>812918.6500000001</v>
      </c>
      <c r="CJ42" s="57">
        <f>IF(CF42=0,"-",(CD42/CF42))</f>
        <v>5.083944557531118</v>
      </c>
      <c r="CK42" s="57">
        <f>IF(CF42=0,"-",(CE42/CF42))</f>
        <v>5.083944557531118</v>
      </c>
      <c r="CL42" s="148">
        <f>IF(CG42=0,"-",(CD42/CG42*1))</f>
        <v>0.050417777984438965</v>
      </c>
      <c r="CM42" s="148">
        <f>IF(CE42=0,"-",(CE42/CG42))</f>
        <v>0.050417777984438965</v>
      </c>
      <c r="CN42" s="148">
        <f>IF(CG42=0,"-",(CH42/CG42))</f>
        <v>0.017977518773801104</v>
      </c>
      <c r="CO42" s="148">
        <f>IF(CG42=0,"-",(CI42/CG42))</f>
        <v>0.09782534458620294</v>
      </c>
      <c r="CP42" s="148">
        <f>IF(BU42+K42+L42=0,"-",((K42+L42)/(BU42+K42+L42)))</f>
        <v>0.08162899727503847</v>
      </c>
      <c r="CQ42" s="148">
        <f>IF(BU42+K42+L42=0,"-",((K42)/(BU42+K42+L42)))</f>
        <v>0.08162899727503847</v>
      </c>
      <c r="CR42" s="149">
        <f>IF(CE42=0,"-",(CS42/CE42))</f>
        <v>-16.679148290102358</v>
      </c>
      <c r="CS42" s="72">
        <f>BT42-BY42</f>
        <v>-6988006.05</v>
      </c>
      <c r="CT42" s="76">
        <f>Y42-K42-L42-V42</f>
        <v>8018258.55</v>
      </c>
      <c r="CU42" s="76">
        <f>AU42-AR42</f>
        <v>8437225.149999999</v>
      </c>
      <c r="CV42" s="76">
        <f>CU42-CT42</f>
        <v>418966.5999999987</v>
      </c>
      <c r="CW42" s="76">
        <f>-V42+AR42</f>
        <v>0</v>
      </c>
      <c r="CX42" s="76">
        <f>CV42+CW42</f>
        <v>418966.5999999987</v>
      </c>
      <c r="CY42" s="76">
        <f>CX42-K42-L42</f>
        <v>-244560.70000000135</v>
      </c>
      <c r="CZ42" s="76">
        <f>BR42-BP42</f>
        <v>82409.75</v>
      </c>
      <c r="DA42" s="76">
        <f>K42+L42</f>
        <v>663527.3</v>
      </c>
      <c r="DB42" s="76">
        <f>-CZ42+DA42+CY42</f>
        <v>336556.8499999987</v>
      </c>
      <c r="DC42" s="76">
        <f>-BP42-DA42</f>
        <v>-675078.3</v>
      </c>
      <c r="DD42" s="76">
        <f>DB42+DC42+BR42</f>
        <v>-244560.70000000135</v>
      </c>
      <c r="DE42" s="76">
        <f>Z42+AA42+AB42</f>
        <v>4229552.25</v>
      </c>
      <c r="DF42" s="76">
        <f>CS42/B42</f>
        <v>-1129.6485693501454</v>
      </c>
      <c r="DG42" s="76">
        <f>CH42/B42</f>
        <v>24.14991108955707</v>
      </c>
      <c r="DH42" s="76">
        <f>DE42/B42</f>
        <v>683.7297526673133</v>
      </c>
      <c r="DI42" s="77">
        <f>CZ42/B42</f>
        <v>13.321977044940187</v>
      </c>
      <c r="DJ42" s="72">
        <f>DB42/B42</f>
        <v>54.40621564823775</v>
      </c>
      <c r="DK42" s="151">
        <f>CA42-BW42-BU42</f>
        <v>-6988006.050000001</v>
      </c>
      <c r="DL42" s="72">
        <v>133</v>
      </c>
      <c r="DM42" s="72">
        <v>403</v>
      </c>
      <c r="DN42" s="63">
        <v>0</v>
      </c>
    </row>
    <row r="43" spans="1:118" ht="12.75">
      <c r="A43" s="3" t="s">
        <v>221</v>
      </c>
      <c r="B43" s="134">
        <f>B12+B14+B23</f>
        <v>1061</v>
      </c>
      <c r="F43" s="11">
        <v>12</v>
      </c>
      <c r="G43" s="129">
        <v>992689.1</v>
      </c>
      <c r="H43" s="41">
        <v>210284.95</v>
      </c>
      <c r="I43" s="41">
        <v>65406.55</v>
      </c>
      <c r="J43" s="41">
        <v>0</v>
      </c>
      <c r="K43" s="41">
        <v>183068.15</v>
      </c>
      <c r="L43" s="41">
        <v>0</v>
      </c>
      <c r="M43" s="41">
        <f>SUM(K43:L43)</f>
        <v>183068.15</v>
      </c>
      <c r="N43" s="41">
        <v>0</v>
      </c>
      <c r="O43" s="41">
        <v>281229.9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1500</v>
      </c>
      <c r="Y43" s="41">
        <f>SUM(G43:X43)-M43-W43</f>
        <v>1734178.65</v>
      </c>
      <c r="Z43" s="41">
        <v>334096.2</v>
      </c>
      <c r="AA43" s="41">
        <v>68144.85</v>
      </c>
      <c r="AB43" s="41">
        <v>0</v>
      </c>
      <c r="AC43" s="41">
        <v>5056.1</v>
      </c>
      <c r="AD43" s="41">
        <v>0</v>
      </c>
      <c r="AE43" s="41">
        <f>SUM(Z43:AD43)</f>
        <v>407297.15</v>
      </c>
      <c r="AF43" s="41">
        <v>0</v>
      </c>
      <c r="AG43" s="41">
        <v>3574.8</v>
      </c>
      <c r="AH43" s="41">
        <v>0</v>
      </c>
      <c r="AI43" s="41">
        <v>5683.6</v>
      </c>
      <c r="AJ43" s="41">
        <v>446899.3</v>
      </c>
      <c r="AK43" s="41">
        <v>0</v>
      </c>
      <c r="AL43" s="41">
        <v>435386.95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1500</v>
      </c>
      <c r="AU43" s="4">
        <f>SUM(Z43:AT43)-AE43-AH43-AS43</f>
        <v>1300341.7999999998</v>
      </c>
      <c r="AV43" s="4">
        <v>0</v>
      </c>
      <c r="AW43" s="4">
        <v>433836.85</v>
      </c>
      <c r="AX43" s="4">
        <f>Y43-AU43+AV43-AW43</f>
        <v>0</v>
      </c>
      <c r="AY43" s="41">
        <v>0</v>
      </c>
      <c r="AZ43" s="41">
        <v>88458.7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f>SUM(AZ43:BE43)</f>
        <v>88458.7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33186</v>
      </c>
      <c r="BM43" s="41">
        <v>64275</v>
      </c>
      <c r="BN43" s="41">
        <v>0</v>
      </c>
      <c r="BO43" s="41">
        <f>SUM(BG43:BN43)</f>
        <v>97461</v>
      </c>
      <c r="BP43" s="41">
        <f>97461</f>
        <v>97461</v>
      </c>
      <c r="BQ43" s="41">
        <v>0</v>
      </c>
      <c r="BR43" s="41">
        <f>88458.7</f>
        <v>88458.7</v>
      </c>
      <c r="BS43" s="41">
        <f>+BF43-BO43+BP43+BQ43-BR43</f>
        <v>0</v>
      </c>
      <c r="BT43" s="4">
        <v>1016729.17</v>
      </c>
      <c r="BU43" s="4">
        <v>1079104</v>
      </c>
      <c r="BV43" s="4">
        <v>0</v>
      </c>
      <c r="BW43" s="4">
        <v>232518.05</v>
      </c>
      <c r="BX43" s="4">
        <f>SUM(BT43:BW43)</f>
        <v>2328351.2199999997</v>
      </c>
      <c r="BY43" s="4">
        <v>2328351.22</v>
      </c>
      <c r="BZ43" s="4">
        <v>0</v>
      </c>
      <c r="CA43" s="4">
        <v>0</v>
      </c>
      <c r="CB43" s="4">
        <f>SUM(BY43:CA43)</f>
        <v>2328351.22</v>
      </c>
      <c r="CC43" s="4">
        <f>BX43-CB43</f>
        <v>0</v>
      </c>
      <c r="CD43" s="70">
        <f>K43+L43+AV43-AW43</f>
        <v>-250768.69999999998</v>
      </c>
      <c r="CE43" s="72">
        <f>CD43+W43-AS43</f>
        <v>-250768.69999999998</v>
      </c>
      <c r="CF43" s="72">
        <f>BR43-BP43</f>
        <v>-9002.300000000003</v>
      </c>
      <c r="CG43" s="72">
        <f>AU43-AM43-AT43-AS43</f>
        <v>1298841.7999999998</v>
      </c>
      <c r="CH43" s="72">
        <f>I43-AG43+AY43+AH43+BQ43</f>
        <v>61831.75</v>
      </c>
      <c r="CI43" s="35">
        <f>CH43+K43</f>
        <v>244899.9</v>
      </c>
      <c r="CJ43" s="57">
        <f>IF(CF43=0,"-",(CD43/CF43))</f>
        <v>27.856070115414937</v>
      </c>
      <c r="CK43" s="57">
        <f>IF(CF43=0,"-",(CE43/CF43))</f>
        <v>27.856070115414937</v>
      </c>
      <c r="CL43" s="148">
        <f>IF(CG43=0,"-",(CD43/CG43*1))</f>
        <v>-0.19307101141955857</v>
      </c>
      <c r="CM43" s="148">
        <f>IF(CE43=0,"-",(CE43/CG43))</f>
        <v>-0.19307101141955857</v>
      </c>
      <c r="CN43" s="148">
        <f>IF(CG43=0,"-",(CH43/CG43))</f>
        <v>0.0476052972733092</v>
      </c>
      <c r="CO43" s="148">
        <f>IF(CG43=0,"-",(CI43/CG43))</f>
        <v>0.1885525242566108</v>
      </c>
      <c r="CP43" s="148">
        <f>IF(BU43+K43+L43=0,"-",((K43+L43)/(BU43+K43+L43)))</f>
        <v>0.14504214025004433</v>
      </c>
      <c r="CQ43" s="148">
        <f>IF(BU43+K43+L43=0,"-",((K43)/(BU43+K43+L43)))</f>
        <v>0.14504214025004433</v>
      </c>
      <c r="CR43" s="149">
        <f>IF(CE43=0,"-",(CS43/CE43))</f>
        <v>5.230405748404807</v>
      </c>
      <c r="CS43" s="72">
        <f>BT43-BY43</f>
        <v>-1311622.0500000003</v>
      </c>
      <c r="CT43" s="76">
        <f>Y43-K43-L43-V43</f>
        <v>1551110.5</v>
      </c>
      <c r="CU43" s="76">
        <f>AU43-AR43</f>
        <v>1300341.7999999998</v>
      </c>
      <c r="CV43" s="76">
        <f>CU43-CT43</f>
        <v>-250768.7000000002</v>
      </c>
      <c r="CW43" s="76">
        <f>-V43+AR43</f>
        <v>0</v>
      </c>
      <c r="CX43" s="76">
        <f>CV43+CW43</f>
        <v>-250768.7000000002</v>
      </c>
      <c r="CY43" s="76">
        <f>CX43-K43-L43</f>
        <v>-433836.8500000002</v>
      </c>
      <c r="CZ43" s="76">
        <f>BR43-BP43</f>
        <v>-9002.300000000003</v>
      </c>
      <c r="DA43" s="76">
        <f>K43+L43</f>
        <v>183068.15</v>
      </c>
      <c r="DB43" s="76">
        <f>-CZ43+DA43+CY43</f>
        <v>-241766.4000000002</v>
      </c>
      <c r="DC43" s="76">
        <f>-BP43-DA43</f>
        <v>-280529.15</v>
      </c>
      <c r="DD43" s="76">
        <f>DB43+DC43+BR43</f>
        <v>-433836.8500000002</v>
      </c>
      <c r="DE43" s="76">
        <f>Z43+AA43+AB43</f>
        <v>402241.05000000005</v>
      </c>
      <c r="DF43" s="76">
        <f>CS43/B43</f>
        <v>-1236.2130537229032</v>
      </c>
      <c r="DG43" s="76">
        <f>CH43/B43</f>
        <v>58.27686145146089</v>
      </c>
      <c r="DH43" s="76">
        <f>DE43/B43</f>
        <v>379.11503298774744</v>
      </c>
      <c r="DI43" s="77">
        <f>CZ43/B43</f>
        <v>-8.484731385485395</v>
      </c>
      <c r="DJ43" s="72">
        <f>DB43/B43</f>
        <v>-227.8665409990577</v>
      </c>
      <c r="DK43" s="151">
        <f>CA43-BW43-BU43</f>
        <v>-1311622.05</v>
      </c>
      <c r="DL43" s="72">
        <v>25</v>
      </c>
      <c r="DM43" s="72">
        <v>81</v>
      </c>
      <c r="DN43" s="63">
        <v>0</v>
      </c>
    </row>
    <row r="44" spans="1:118" ht="12.75">
      <c r="A44" s="3" t="s">
        <v>222</v>
      </c>
      <c r="B44" s="134">
        <f>B13+B16</f>
        <v>937</v>
      </c>
      <c r="G44" s="129">
        <v>645762.3</v>
      </c>
      <c r="H44" s="41">
        <v>110253.15</v>
      </c>
      <c r="I44" s="41">
        <v>5502.55</v>
      </c>
      <c r="J44" s="41">
        <v>0</v>
      </c>
      <c r="K44" s="41">
        <v>539675</v>
      </c>
      <c r="L44" s="41">
        <v>0</v>
      </c>
      <c r="M44" s="41">
        <f>SUM(K44:L44)</f>
        <v>539675</v>
      </c>
      <c r="N44" s="41">
        <v>0</v>
      </c>
      <c r="O44" s="41">
        <v>406841.75</v>
      </c>
      <c r="P44" s="41">
        <v>21723.95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1729758.7000000002</v>
      </c>
      <c r="Z44" s="41">
        <v>223748.5</v>
      </c>
      <c r="AA44" s="41">
        <v>0</v>
      </c>
      <c r="AB44" s="41">
        <v>0</v>
      </c>
      <c r="AC44" s="41">
        <v>4702</v>
      </c>
      <c r="AD44" s="41">
        <v>0</v>
      </c>
      <c r="AE44" s="41">
        <f>SUM(Z44:AD44)</f>
        <v>228450.5</v>
      </c>
      <c r="AF44" s="41">
        <v>0</v>
      </c>
      <c r="AG44" s="41">
        <v>199.15</v>
      </c>
      <c r="AH44" s="41">
        <v>0</v>
      </c>
      <c r="AI44" s="41">
        <v>31708.2</v>
      </c>
      <c r="AJ44" s="41">
        <v>771323.65</v>
      </c>
      <c r="AK44" s="41">
        <v>400</v>
      </c>
      <c r="AL44" s="41">
        <v>257097.85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1289179.35</v>
      </c>
      <c r="AV44" s="4">
        <v>0</v>
      </c>
      <c r="AW44" s="4">
        <v>440579.35</v>
      </c>
      <c r="AX44" s="4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130096.55</v>
      </c>
      <c r="BU44" s="4">
        <v>1587050.55</v>
      </c>
      <c r="BV44" s="4">
        <v>0</v>
      </c>
      <c r="BW44" s="4">
        <v>440579.35</v>
      </c>
      <c r="BX44" s="4">
        <f>SUM(BT44:BW44)</f>
        <v>2157726.45</v>
      </c>
      <c r="BY44" s="4">
        <v>1978023.5</v>
      </c>
      <c r="BZ44" s="4">
        <v>0</v>
      </c>
      <c r="CA44" s="4">
        <v>179702.95</v>
      </c>
      <c r="CB44" s="4">
        <f>SUM(BY44:CA44)</f>
        <v>2157726.45</v>
      </c>
      <c r="CC44" s="4">
        <f>BX44-CB44</f>
        <v>0</v>
      </c>
      <c r="CD44" s="70">
        <f>K44+L44+AV44-AW44</f>
        <v>99095.65000000002</v>
      </c>
      <c r="CE44" s="72">
        <f>CD44+W44-AS44</f>
        <v>99095.65000000002</v>
      </c>
      <c r="CF44" s="72">
        <f>BR44-BP44</f>
        <v>0</v>
      </c>
      <c r="CG44" s="72">
        <f>AU44-AM44-AT44-AS44</f>
        <v>1289179.35</v>
      </c>
      <c r="CH44" s="72">
        <f>I44-AG44+AY44+AH44+BQ44</f>
        <v>5303.400000000001</v>
      </c>
      <c r="CI44" s="35">
        <f>CH44+K44</f>
        <v>544978.4</v>
      </c>
      <c r="CJ44" s="57" t="str">
        <f>IF(CF44=0,"-",(CD44/CF44))</f>
        <v>-</v>
      </c>
      <c r="CK44" s="57" t="str">
        <f>IF(CF44=0,"-",(CE44/CF44))</f>
        <v>-</v>
      </c>
      <c r="CL44" s="148">
        <f>IF(CG44=0,"-",(CD44/CG44*1))</f>
        <v>0.07686723340705079</v>
      </c>
      <c r="CM44" s="148">
        <f>IF(CE44=0,"-",(CE44/CG44))</f>
        <v>0.07686723340705079</v>
      </c>
      <c r="CN44" s="148">
        <f>IF(CG44=0,"-",(CH44/CG44))</f>
        <v>0.00411377982435105</v>
      </c>
      <c r="CO44" s="148">
        <f>IF(CG44=0,"-",(CI44/CG44))</f>
        <v>0.42273280284857184</v>
      </c>
      <c r="CP44" s="148">
        <f>IF(BU44+K44+L44=0,"-",((K44+L44)/(BU44+K44+L44)))</f>
        <v>0.253758647889475</v>
      </c>
      <c r="CQ44" s="148">
        <f>IF(BU44+K44+L44=0,"-",((K44)/(BU44+K44+L44)))</f>
        <v>0.253758647889475</v>
      </c>
      <c r="CR44" s="149">
        <f>IF(CE44=0,"-",(CS44/CE44))</f>
        <v>-18.647911891187952</v>
      </c>
      <c r="CS44" s="72">
        <f>BT44-BY44</f>
        <v>-1847926.95</v>
      </c>
      <c r="CT44" s="76">
        <f>Y44-K44-L44-V44</f>
        <v>1190083.7000000002</v>
      </c>
      <c r="CU44" s="76">
        <f>AU44-AR44</f>
        <v>1289179.35</v>
      </c>
      <c r="CV44" s="76">
        <f>CU44-CT44</f>
        <v>99095.6499999999</v>
      </c>
      <c r="CW44" s="76">
        <f>-V44+AR44</f>
        <v>0</v>
      </c>
      <c r="CX44" s="76">
        <f>CV44+CW44</f>
        <v>99095.6499999999</v>
      </c>
      <c r="CY44" s="76">
        <f>CX44-K44-L44</f>
        <v>-440579.3500000001</v>
      </c>
      <c r="CZ44" s="76">
        <f>BR44-BP44</f>
        <v>0</v>
      </c>
      <c r="DA44" s="76">
        <f>K44+L44</f>
        <v>539675</v>
      </c>
      <c r="DB44" s="76">
        <f>-CZ44+DA44+CY44</f>
        <v>99095.6499999999</v>
      </c>
      <c r="DC44" s="76">
        <f>-BP44-DA44</f>
        <v>-539675</v>
      </c>
      <c r="DD44" s="76">
        <f>DB44+DC44+BR44</f>
        <v>-440579.3500000001</v>
      </c>
      <c r="DE44" s="76">
        <f>Z44+AA44+AB44</f>
        <v>223748.5</v>
      </c>
      <c r="DF44" s="76">
        <f>CS44/B44</f>
        <v>-1972.1739060832444</v>
      </c>
      <c r="DG44" s="76">
        <f>CH44/B44</f>
        <v>5.659978655282818</v>
      </c>
      <c r="DH44" s="76">
        <f>DE44/B44</f>
        <v>238.7924226254002</v>
      </c>
      <c r="DI44" s="77">
        <f>CZ44/B44</f>
        <v>0</v>
      </c>
      <c r="DJ44" s="72">
        <f>DB44/B44</f>
        <v>105.75843116328699</v>
      </c>
      <c r="DK44" s="151">
        <f>CA44-BW44-BU44</f>
        <v>-1847926.95</v>
      </c>
      <c r="DL44" s="72">
        <v>30</v>
      </c>
      <c r="DM44" s="72">
        <v>84</v>
      </c>
      <c r="DN44" s="63">
        <v>0</v>
      </c>
    </row>
    <row r="46" spans="1:118" ht="12.75">
      <c r="A46" s="3" t="s">
        <v>252</v>
      </c>
      <c r="B46" s="134">
        <f>B8</f>
        <v>649</v>
      </c>
      <c r="C46" s="141"/>
      <c r="D46" s="141"/>
      <c r="E46" s="141"/>
      <c r="F46" s="141"/>
      <c r="G46" s="129">
        <v>9774.35</v>
      </c>
      <c r="H46" s="41">
        <v>40885.1</v>
      </c>
      <c r="I46" s="41">
        <v>4715.4</v>
      </c>
      <c r="J46" s="41">
        <v>0</v>
      </c>
      <c r="K46" s="41">
        <v>138000</v>
      </c>
      <c r="L46" s="41">
        <v>0</v>
      </c>
      <c r="M46" s="41">
        <f>SUM(K46:L46)</f>
        <v>138000</v>
      </c>
      <c r="N46" s="41">
        <v>0</v>
      </c>
      <c r="O46" s="41">
        <v>301817.7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495192.55000000005</v>
      </c>
      <c r="Z46" s="41">
        <v>186413.45</v>
      </c>
      <c r="AA46" s="41">
        <v>43860.9</v>
      </c>
      <c r="AB46" s="41">
        <v>0</v>
      </c>
      <c r="AC46" s="41">
        <v>2807.35</v>
      </c>
      <c r="AD46" s="41">
        <v>0</v>
      </c>
      <c r="AE46" s="41">
        <f>SUM(Z46:AD46)</f>
        <v>233081.7</v>
      </c>
      <c r="AF46" s="41">
        <v>0</v>
      </c>
      <c r="AG46" s="41">
        <v>0</v>
      </c>
      <c r="AH46" s="41">
        <v>0</v>
      </c>
      <c r="AI46" s="41">
        <v>33962</v>
      </c>
      <c r="AJ46" s="41">
        <v>37914.75</v>
      </c>
      <c r="AK46" s="41">
        <v>2194</v>
      </c>
      <c r="AL46" s="41">
        <v>7780.1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314932.55</v>
      </c>
      <c r="AV46" s="4">
        <v>0</v>
      </c>
      <c r="AW46" s="4">
        <v>180260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0</v>
      </c>
      <c r="BU46" s="4">
        <v>278668.9</v>
      </c>
      <c r="BV46" s="4">
        <v>0</v>
      </c>
      <c r="BW46" s="4">
        <f>180260-73163.25</f>
        <v>107096.75</v>
      </c>
      <c r="BX46" s="4">
        <f>SUM(BT46:BW46)</f>
        <v>385765.65</v>
      </c>
      <c r="BY46" s="4">
        <v>385765.65</v>
      </c>
      <c r="BZ46" s="4">
        <v>0</v>
      </c>
      <c r="CA46" s="4">
        <v>0</v>
      </c>
      <c r="CB46" s="4">
        <f>SUM(BY46:CA46)</f>
        <v>385765.65</v>
      </c>
      <c r="CC46" s="4">
        <f>BX46-CB46</f>
        <v>0</v>
      </c>
      <c r="CD46" s="70">
        <f>K46+L46+AV46-AW46</f>
        <v>-42260</v>
      </c>
      <c r="CE46" s="72">
        <f>CD46+W46-AS46</f>
        <v>-42260</v>
      </c>
      <c r="CF46" s="72">
        <f>BR46-BP46</f>
        <v>0</v>
      </c>
      <c r="CG46" s="72">
        <f>AU46-AM46-AT46-AS46</f>
        <v>314932.55</v>
      </c>
      <c r="CH46" s="72">
        <f>I46-AG46+AY46+AH46+BQ46</f>
        <v>4715.4</v>
      </c>
      <c r="CI46" s="35">
        <f>CH46+K46</f>
        <v>142715.4</v>
      </c>
      <c r="CJ46" s="57" t="str">
        <f>IF(CF46=0,"-",(CD46/CF46))</f>
        <v>-</v>
      </c>
      <c r="CK46" s="57" t="str">
        <f>IF(CF46=0,"-",(CE46/CF46))</f>
        <v>-</v>
      </c>
      <c r="CL46" s="148">
        <f>IF(CG46=0,"-",(CD46/CG46*1))</f>
        <v>-0.1341874633155576</v>
      </c>
      <c r="CM46" s="148">
        <f>IF(CE46=0,"-",(CE46/CG46))</f>
        <v>-0.1341874633155576</v>
      </c>
      <c r="CN46" s="148">
        <f>IF(CG46=0,"-",(CH46/CG46))</f>
        <v>0.014972729875016095</v>
      </c>
      <c r="CO46" s="148">
        <f>IF(CG46=0,"-",(CI46/CG46))</f>
        <v>0.4531617960734767</v>
      </c>
      <c r="CP46" s="148">
        <f>IF(BU46+K46+L46=0,"-",((K46+L46)/(BU46+K46+L46)))</f>
        <v>0.33119822477751515</v>
      </c>
      <c r="CQ46" s="148">
        <f>IF(BU46+K46+L46=0,"-",((K46)/(BU46+K46+L46)))</f>
        <v>0.33119822477751515</v>
      </c>
      <c r="CR46" s="149">
        <f>IF(CE46=0,"-",(CS46/CE46))</f>
        <v>9.12838736393753</v>
      </c>
      <c r="CS46" s="72">
        <f>BT46-BY46</f>
        <v>-385765.65</v>
      </c>
      <c r="CT46" s="76">
        <f>Y46-K46-L46-V46</f>
        <v>357192.55000000005</v>
      </c>
      <c r="CU46" s="76">
        <f>AU46-AR46</f>
        <v>314932.55</v>
      </c>
      <c r="CV46" s="76">
        <f>CU46-CT46</f>
        <v>-42260.00000000006</v>
      </c>
      <c r="CW46" s="76">
        <f>-V46+AR46</f>
        <v>0</v>
      </c>
      <c r="CX46" s="76">
        <f>CV46+CW46</f>
        <v>-42260.00000000006</v>
      </c>
      <c r="CY46" s="76">
        <f>CX46-K46-L46</f>
        <v>-180260.00000000006</v>
      </c>
      <c r="CZ46" s="76">
        <f>BR46-BP46</f>
        <v>0</v>
      </c>
      <c r="DA46" s="76">
        <f>K46+L46</f>
        <v>138000</v>
      </c>
      <c r="DB46" s="76">
        <f>-CZ46+DA46+CY46</f>
        <v>-42260.00000000006</v>
      </c>
      <c r="DC46" s="76">
        <f>-BP46-DA46</f>
        <v>-138000</v>
      </c>
      <c r="DD46" s="76">
        <f>DB46+DC46+BR46</f>
        <v>-180260.00000000006</v>
      </c>
      <c r="DE46" s="76">
        <f>Z46+AA46+AB46</f>
        <v>230274.35</v>
      </c>
      <c r="DF46" s="76">
        <f>CS46/B46</f>
        <v>-594.4000770416025</v>
      </c>
      <c r="DG46" s="76">
        <f>CH46/B46</f>
        <v>7.265639445300462</v>
      </c>
      <c r="DH46" s="76">
        <f>DE46/B46</f>
        <v>354.8140986132512</v>
      </c>
      <c r="DI46" s="77">
        <f>CZ46/B46</f>
        <v>0</v>
      </c>
      <c r="DJ46" s="72">
        <f>DB46/B46</f>
        <v>-65.11556240369809</v>
      </c>
      <c r="DK46" s="151">
        <f>CA46-BW46-BU46</f>
        <v>-385765.65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380</v>
      </c>
      <c r="C47" s="141"/>
      <c r="D47" s="141"/>
      <c r="E47" s="141"/>
      <c r="F47" s="141"/>
      <c r="G47" s="129">
        <f>160+1200+2000+491.3-209.6</f>
        <v>3641.7000000000003</v>
      </c>
      <c r="H47" s="41">
        <f>390+67.3+557.2+13570.8+450+7535.95+44508.5+215.2+204.8+255.75</f>
        <v>67755.5</v>
      </c>
      <c r="I47" s="41">
        <f>561.3</f>
        <v>561.3</v>
      </c>
      <c r="J47" s="41">
        <v>0</v>
      </c>
      <c r="K47" s="41">
        <v>0</v>
      </c>
      <c r="L47" s="41">
        <v>0</v>
      </c>
      <c r="M47" s="41">
        <f>SUM(K47:L47)</f>
        <v>0</v>
      </c>
      <c r="N47" s="41">
        <v>0</v>
      </c>
      <c r="O47" s="41">
        <f>81090.15+105655.45+13437.5+11147.7</f>
        <v>211330.8</v>
      </c>
      <c r="P47" s="41">
        <f>9234.1</f>
        <v>9234.1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f>SUM(R47:V47)</f>
        <v>0</v>
      </c>
      <c r="X47" s="41">
        <f>33000+2100+600+300</f>
        <v>36000</v>
      </c>
      <c r="Y47" s="41">
        <f>SUM(G47:X47)-M47-W47</f>
        <v>328523.39999999997</v>
      </c>
      <c r="Z47" s="41">
        <f>166330.55</f>
        <v>166330.55</v>
      </c>
      <c r="AA47" s="41">
        <v>0</v>
      </c>
      <c r="AB47" s="41">
        <v>0</v>
      </c>
      <c r="AC47" s="41">
        <f>1881.35</f>
        <v>1881.35</v>
      </c>
      <c r="AD47" s="41">
        <v>0</v>
      </c>
      <c r="AE47" s="41">
        <f>SUM(Z47:AD47)</f>
        <v>168211.9</v>
      </c>
      <c r="AF47" s="41">
        <v>0</v>
      </c>
      <c r="AG47" s="41">
        <f>952.25</f>
        <v>952.25</v>
      </c>
      <c r="AH47" s="41">
        <v>0</v>
      </c>
      <c r="AI47" s="41">
        <f>1226.5</f>
        <v>1226.5</v>
      </c>
      <c r="AJ47" s="41">
        <f>664.85</f>
        <v>664.85</v>
      </c>
      <c r="AK47" s="41">
        <v>0</v>
      </c>
      <c r="AL47" s="41">
        <f>22254.25+107.6</f>
        <v>22361.85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f>18000+25200</f>
        <v>43200</v>
      </c>
      <c r="AU47" s="4">
        <f>SUM(Z47:AT47)-AE47-AH47-AS47</f>
        <v>236617.34999999995</v>
      </c>
      <c r="AV47" s="4">
        <v>0</v>
      </c>
      <c r="AW47" s="4">
        <v>91906.05</v>
      </c>
      <c r="AX47" s="4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v>47679.9</v>
      </c>
      <c r="BU47" s="4">
        <v>580295</v>
      </c>
      <c r="BV47" s="4">
        <v>0</v>
      </c>
      <c r="BW47" s="4">
        <v>91906.05</v>
      </c>
      <c r="BX47" s="4">
        <f>SUM(BT47:BW47)</f>
        <v>719880.9500000001</v>
      </c>
      <c r="BY47" s="4">
        <v>662029</v>
      </c>
      <c r="BZ47" s="4">
        <v>0</v>
      </c>
      <c r="CA47" s="4">
        <v>57851.95</v>
      </c>
      <c r="CB47" s="4">
        <f>SUM(BY47:CA47)</f>
        <v>719880.95</v>
      </c>
      <c r="CC47" s="4">
        <f>BX47-CB47</f>
        <v>0</v>
      </c>
      <c r="CD47" s="70">
        <f>K47+L47+AV47-AW47</f>
        <v>-91906.05</v>
      </c>
      <c r="CE47" s="72">
        <f>CD47+W47-AS47</f>
        <v>-91906.05</v>
      </c>
      <c r="CF47" s="72">
        <f>BR47-BP47</f>
        <v>0</v>
      </c>
      <c r="CG47" s="72">
        <f>AU47-AM47-AT47-AS47</f>
        <v>193417.34999999995</v>
      </c>
      <c r="CH47" s="72">
        <f>I47-AG47+AY47+AH47+BQ47</f>
        <v>-390.95000000000005</v>
      </c>
      <c r="CI47" s="35">
        <f>CH47+K47</f>
        <v>-390.95000000000005</v>
      </c>
      <c r="CJ47" s="57" t="str">
        <f>IF(CF47=0,"-",(CD47/CF47))</f>
        <v>-</v>
      </c>
      <c r="CK47" s="57" t="str">
        <f>IF(CF47=0,"-",(CE47/CF47))</f>
        <v>-</v>
      </c>
      <c r="CL47" s="148">
        <f>IF(CG47=0,"-",(CD47/CG47*1))</f>
        <v>-0.4751696267165279</v>
      </c>
      <c r="CM47" s="148">
        <f>IF(CE47=0,"-",(CE47/CG47))</f>
        <v>-0.4751696267165279</v>
      </c>
      <c r="CN47" s="148">
        <f>IF(CG47=0,"-",(CH47/CG47))</f>
        <v>-0.0020212767882508997</v>
      </c>
      <c r="CO47" s="148">
        <f>IF(CG47=0,"-",(CI47/CG47))</f>
        <v>-0.0020212767882508997</v>
      </c>
      <c r="CP47" s="148">
        <f>IF(BU47+K47+L47=0,"-",((K47+L47)/(BU47+K47+L47)))</f>
        <v>0</v>
      </c>
      <c r="CQ47" s="148">
        <f>IF(BU47+K47+L47=0,"-",((K47)/(BU47+K47+L47)))</f>
        <v>0</v>
      </c>
      <c r="CR47" s="149">
        <f>IF(CE47=0,"-",(CS47/CE47))</f>
        <v>6.684533825575138</v>
      </c>
      <c r="CS47" s="72">
        <f>BT47-BY47</f>
        <v>-614349.1</v>
      </c>
      <c r="CT47" s="76">
        <f>Y47-K47-L47-V47</f>
        <v>328523.39999999997</v>
      </c>
      <c r="CU47" s="76">
        <f>AU47-AR47</f>
        <v>236617.34999999995</v>
      </c>
      <c r="CV47" s="76">
        <f>CU47-CT47</f>
        <v>-91906.05000000002</v>
      </c>
      <c r="CW47" s="76">
        <f>-V47+AR47</f>
        <v>0</v>
      </c>
      <c r="CX47" s="76">
        <f>CV47+CW47</f>
        <v>-91906.05000000002</v>
      </c>
      <c r="CY47" s="76">
        <f>CX47-K47-L47</f>
        <v>-91906.05000000002</v>
      </c>
      <c r="CZ47" s="76">
        <f>BR47-BP47</f>
        <v>0</v>
      </c>
      <c r="DA47" s="76">
        <f>K47+L47</f>
        <v>0</v>
      </c>
      <c r="DB47" s="76">
        <f>-CZ47+DA47+CY47</f>
        <v>-91906.05000000002</v>
      </c>
      <c r="DC47" s="76">
        <f>-BP47-DA47</f>
        <v>0</v>
      </c>
      <c r="DD47" s="76">
        <f>DB47+DC47+BR47</f>
        <v>-91906.05000000002</v>
      </c>
      <c r="DE47" s="76">
        <f>Z47+AA47+AB47</f>
        <v>166330.55</v>
      </c>
      <c r="DF47" s="76">
        <f>CS47/B47</f>
        <v>-1616.7081578947368</v>
      </c>
      <c r="DG47" s="76">
        <f>CH47/B47</f>
        <v>-1.0288157894736842</v>
      </c>
      <c r="DH47" s="76">
        <f>DE47/B47</f>
        <v>437.7119736842105</v>
      </c>
      <c r="DI47" s="77">
        <f>CZ47/B47</f>
        <v>0</v>
      </c>
      <c r="DJ47" s="72">
        <f>DB47/B47</f>
        <v>-241.85802631578952</v>
      </c>
      <c r="DK47" s="151">
        <f>CA47-BW47-BU47</f>
        <v>-614349.1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745</v>
      </c>
      <c r="C48" s="141"/>
      <c r="D48" s="141"/>
      <c r="E48" s="141"/>
      <c r="F48" s="141"/>
      <c r="G48" s="129">
        <v>487368.3</v>
      </c>
      <c r="H48" s="41">
        <v>153070.35</v>
      </c>
      <c r="I48" s="41">
        <v>11403.8</v>
      </c>
      <c r="J48" s="41">
        <v>0</v>
      </c>
      <c r="K48" s="41">
        <v>172643.2</v>
      </c>
      <c r="L48" s="41">
        <v>0</v>
      </c>
      <c r="M48" s="41">
        <f>SUM(K48:L48)</f>
        <v>172643.2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824485.6500000001</v>
      </c>
      <c r="Z48" s="41">
        <v>255905.1</v>
      </c>
      <c r="AA48" s="41">
        <v>230190.9</v>
      </c>
      <c r="AB48" s="41">
        <v>0</v>
      </c>
      <c r="AC48" s="41">
        <v>3624.9</v>
      </c>
      <c r="AD48" s="41">
        <v>0</v>
      </c>
      <c r="AE48" s="41">
        <f>SUM(Z48:AD48)</f>
        <v>489720.9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489720.9</v>
      </c>
      <c r="AV48" s="4">
        <v>0</v>
      </c>
      <c r="AW48" s="4">
        <v>334764.75</v>
      </c>
      <c r="AX48" s="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7220.42</v>
      </c>
      <c r="BU48" s="4">
        <v>0</v>
      </c>
      <c r="BV48" s="4">
        <v>0</v>
      </c>
      <c r="BW48" s="4">
        <v>334764.75</v>
      </c>
      <c r="BX48" s="4">
        <f>SUM(BT48:BW48)</f>
        <v>341985.17</v>
      </c>
      <c r="BY48" s="4">
        <v>238922.8</v>
      </c>
      <c r="BZ48" s="4">
        <v>0</v>
      </c>
      <c r="CA48" s="4">
        <v>103062.37</v>
      </c>
      <c r="CB48" s="4">
        <f>SUM(BY48:CA48)</f>
        <v>341985.17</v>
      </c>
      <c r="CC48" s="4">
        <f>BX48-CB48</f>
        <v>0</v>
      </c>
      <c r="CD48" s="70">
        <f>K48+L48+AV48-AW48</f>
        <v>-162121.55</v>
      </c>
      <c r="CE48" s="72">
        <f>CD48+W48-AS48</f>
        <v>-162121.55</v>
      </c>
      <c r="CF48" s="72">
        <f>BR48-BP48</f>
        <v>0</v>
      </c>
      <c r="CG48" s="72">
        <f>AU48-AM48-AT48-AS48</f>
        <v>489720.9</v>
      </c>
      <c r="CH48" s="72">
        <f>I48-AG48+AY48+AH48+BQ48</f>
        <v>11403.8</v>
      </c>
      <c r="CI48" s="35">
        <f>CH48+K48</f>
        <v>184047</v>
      </c>
      <c r="CJ48" s="57" t="str">
        <f>IF(CF48=0,"-",(CD48/CF48))</f>
        <v>-</v>
      </c>
      <c r="CK48" s="57" t="str">
        <f>IF(CF48=0,"-",(CE48/CF48))</f>
        <v>-</v>
      </c>
      <c r="CL48" s="148">
        <f>IF(CG48=0,"-",(CD48/CG48*1))</f>
        <v>-0.3310488688557094</v>
      </c>
      <c r="CM48" s="148">
        <f>IF(CE48=0,"-",(CE48/CG48))</f>
        <v>-0.3310488688557094</v>
      </c>
      <c r="CN48" s="148">
        <f>IF(CG48=0,"-",(CH48/CG48))</f>
        <v>0.023286324925074667</v>
      </c>
      <c r="CO48" s="148">
        <f>IF(CG48=0,"-",(CI48/CG48))</f>
        <v>0.37582018655932387</v>
      </c>
      <c r="CP48" s="148">
        <f>IF(BU48+K48+L48=0,"-",((K48+L48)/(BU48+K48+L48)))</f>
        <v>1</v>
      </c>
      <c r="CQ48" s="148">
        <f>IF(BU48+K48+L48=0,"-",((K48)/(BU48+K48+L48)))</f>
        <v>1</v>
      </c>
      <c r="CR48" s="149">
        <f>IF(CE48=0,"-",(CS48/CE48))</f>
        <v>1.4291892718765642</v>
      </c>
      <c r="CS48" s="72">
        <f>BT48-BY48</f>
        <v>-231702.37999999998</v>
      </c>
      <c r="CT48" s="76">
        <f>Y48-K48-L48-V48</f>
        <v>651842.4500000002</v>
      </c>
      <c r="CU48" s="76">
        <f>AU48-AR48</f>
        <v>489720.9</v>
      </c>
      <c r="CV48" s="76">
        <f>CU48-CT48</f>
        <v>-162121.55000000016</v>
      </c>
      <c r="CW48" s="76">
        <f>-V48+AR48</f>
        <v>0</v>
      </c>
      <c r="CX48" s="76">
        <f>CV48+CW48</f>
        <v>-162121.55000000016</v>
      </c>
      <c r="CY48" s="76">
        <f>CX48-K48-L48</f>
        <v>-334764.7500000002</v>
      </c>
      <c r="CZ48" s="76">
        <f>BR48-BP48</f>
        <v>0</v>
      </c>
      <c r="DA48" s="76">
        <f>K48+L48</f>
        <v>172643.2</v>
      </c>
      <c r="DB48" s="76">
        <f>-CZ48+DA48+CY48</f>
        <v>-162121.55000000016</v>
      </c>
      <c r="DC48" s="76">
        <f>-BP48-DA48</f>
        <v>-172643.2</v>
      </c>
      <c r="DD48" s="76">
        <f>DB48+DC48+BR48</f>
        <v>-334764.7500000002</v>
      </c>
      <c r="DE48" s="76">
        <f>Z48+AA48+AB48</f>
        <v>486096</v>
      </c>
      <c r="DF48" s="76">
        <f>CS48/B48</f>
        <v>-311.00990604026845</v>
      </c>
      <c r="DG48" s="76">
        <f>CH48/B48</f>
        <v>15.307114093959731</v>
      </c>
      <c r="DH48" s="76">
        <f>DE48/B48</f>
        <v>652.4778523489933</v>
      </c>
      <c r="DI48" s="77">
        <f>CZ48/B48</f>
        <v>0</v>
      </c>
      <c r="DJ48" s="72">
        <f>DB48/B48</f>
        <v>-217.61281879194652</v>
      </c>
      <c r="DK48" s="151">
        <f>CA48-BW48-BU48</f>
        <v>-231702.38</v>
      </c>
      <c r="DL48" s="72">
        <v>16</v>
      </c>
      <c r="DM48" s="72">
        <v>81</v>
      </c>
      <c r="DN48" s="63">
        <v>0</v>
      </c>
    </row>
    <row r="49" spans="1:118" ht="12.75">
      <c r="A49" s="3" t="s">
        <v>255</v>
      </c>
      <c r="B49" s="134">
        <f>B8+B17</f>
        <v>1029</v>
      </c>
      <c r="C49" s="141"/>
      <c r="D49" s="141"/>
      <c r="E49" s="141"/>
      <c r="F49" s="141"/>
      <c r="G49" s="129">
        <v>649278.15</v>
      </c>
      <c r="H49" s="41">
        <v>111052.3</v>
      </c>
      <c r="I49" s="41">
        <v>9759.6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10200.7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440.2</v>
      </c>
      <c r="Y49" s="41">
        <f>SUM(G49:X49)-M49-W49</f>
        <v>780730.95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4819</v>
      </c>
      <c r="AJ49" s="41">
        <v>349607.15</v>
      </c>
      <c r="AK49" s="41">
        <v>190372.9</v>
      </c>
      <c r="AL49" s="41">
        <v>222696.9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13235</v>
      </c>
      <c r="AU49" s="4">
        <f>SUM(Z49:AT49)-AE49-AH49-AS49</f>
        <v>780730.9500000001</v>
      </c>
      <c r="AV49" s="4">
        <v>0</v>
      </c>
      <c r="AW49" s="4">
        <v>0</v>
      </c>
      <c r="AX49" s="4">
        <f>Y49-AU49+AV49-AW49</f>
        <v>-1.1641532182693481E-10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0</v>
      </c>
      <c r="BU49" s="4">
        <v>0</v>
      </c>
      <c r="BV49" s="4">
        <v>0</v>
      </c>
      <c r="BW49" s="4">
        <v>0</v>
      </c>
      <c r="BX49" s="4">
        <f>SUM(BT49:BW49)</f>
        <v>0</v>
      </c>
      <c r="BY49" s="4">
        <v>0</v>
      </c>
      <c r="BZ49" s="4">
        <v>0</v>
      </c>
      <c r="CA49" s="4">
        <v>0</v>
      </c>
      <c r="CB49" s="4">
        <f>SUM(BY49:CA49)</f>
        <v>0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767495.9500000001</v>
      </c>
      <c r="CH49" s="72">
        <f>I49-AG49+AY49+AH49+BQ49</f>
        <v>9759.6</v>
      </c>
      <c r="CI49" s="35">
        <f>CH49+K49</f>
        <v>9759.6</v>
      </c>
      <c r="CJ49" s="57" t="str">
        <f>IF(CF49=0,"-",(CD49/CF49))</f>
        <v>-</v>
      </c>
      <c r="CK49" s="57" t="str">
        <f>IF(CF49=0,"-",(CE49/CF49))</f>
        <v>-</v>
      </c>
      <c r="CL49" s="148">
        <f>IF(CG49=0,"-",(CD49/CG49*1))</f>
        <v>0</v>
      </c>
      <c r="CM49" s="148" t="str">
        <f>IF(CE49=0,"-",(CE49/CG49))</f>
        <v>-</v>
      </c>
      <c r="CN49" s="148">
        <f>IF(CG49=0,"-",(CH49/CG49))</f>
        <v>0.012716158306763703</v>
      </c>
      <c r="CO49" s="148">
        <f>IF(CG49=0,"-",(CI49/CG49))</f>
        <v>0.012716158306763703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0</v>
      </c>
      <c r="CT49" s="76">
        <f>Y49-K49-L49-V49</f>
        <v>780730.95</v>
      </c>
      <c r="CU49" s="76">
        <f>AU49-AR49</f>
        <v>780730.9500000001</v>
      </c>
      <c r="CV49" s="76">
        <f>CU49-CT49</f>
        <v>0</v>
      </c>
      <c r="CW49" s="76">
        <f>-V49+AR49</f>
        <v>0</v>
      </c>
      <c r="CX49" s="76">
        <f>CV49+CW49</f>
        <v>0</v>
      </c>
      <c r="CY49" s="76">
        <f>CX49-K49-L49</f>
        <v>0</v>
      </c>
      <c r="CZ49" s="76">
        <f>BR49-BP49</f>
        <v>0</v>
      </c>
      <c r="DA49" s="76">
        <f>K49+L49</f>
        <v>0</v>
      </c>
      <c r="DB49" s="76">
        <f>-CZ49+DA49+CY49</f>
        <v>0</v>
      </c>
      <c r="DC49" s="76">
        <f>-BP49-DA49</f>
        <v>0</v>
      </c>
      <c r="DD49" s="76">
        <f>DB49+DC49+BR49</f>
        <v>0</v>
      </c>
      <c r="DE49" s="76">
        <f>Z49+AA49+AB49</f>
        <v>0</v>
      </c>
      <c r="DF49" s="76">
        <f>CS49/B49</f>
        <v>0</v>
      </c>
      <c r="DG49" s="76">
        <f>CH49/B49</f>
        <v>9.484548104956268</v>
      </c>
      <c r="DH49" s="76">
        <f>DE49/B49</f>
        <v>0</v>
      </c>
      <c r="DI49" s="77">
        <f>CZ49/B49</f>
        <v>0</v>
      </c>
      <c r="DJ49" s="72">
        <f>DB49/B49</f>
        <v>0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1774</v>
      </c>
      <c r="C50" s="141"/>
      <c r="D50" s="141"/>
      <c r="E50" s="141"/>
      <c r="F50" s="141"/>
      <c r="G50" s="129">
        <v>1068367.1</v>
      </c>
      <c r="H50" s="41">
        <v>109829.75</v>
      </c>
      <c r="I50" s="41">
        <v>16117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0</v>
      </c>
      <c r="Y50" s="41">
        <f>SUM(G50:X50)-M50-W50</f>
        <v>1194313.85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300250.85</v>
      </c>
      <c r="AK50" s="41">
        <v>419574.7</v>
      </c>
      <c r="AL50" s="41">
        <v>474488.3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1194313.85</v>
      </c>
      <c r="AV50" s="4">
        <v>0</v>
      </c>
      <c r="AW50" s="4">
        <v>0</v>
      </c>
      <c r="AX50" s="4">
        <f>Y50-AU50+AV50-AW50</f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0</v>
      </c>
      <c r="BU50" s="4">
        <v>0</v>
      </c>
      <c r="BV50" s="4">
        <v>0</v>
      </c>
      <c r="BW50" s="4">
        <v>0</v>
      </c>
      <c r="BX50" s="4">
        <f>SUM(BT50:BW50)</f>
        <v>0</v>
      </c>
      <c r="BY50" s="4">
        <v>0</v>
      </c>
      <c r="BZ50" s="4">
        <v>0</v>
      </c>
      <c r="CA50" s="4">
        <v>0</v>
      </c>
      <c r="CB50" s="4">
        <f>SUM(BY50:CA50)</f>
        <v>0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1194313.85</v>
      </c>
      <c r="CH50" s="72">
        <f>I50-AG50+AY50+AH50+BQ50</f>
        <v>16117</v>
      </c>
      <c r="CI50" s="35">
        <f>CH50+K50</f>
        <v>16117</v>
      </c>
      <c r="CJ50" s="57" t="str">
        <f>IF(CF50=0,"-",(CD50/CF50))</f>
        <v>-</v>
      </c>
      <c r="CK50" s="57" t="str">
        <f>IF(CF50=0,"-",(CE50/CF50))</f>
        <v>-</v>
      </c>
      <c r="CL50" s="148">
        <f>IF(CG50=0,"-",(CD50/CG50*1))</f>
        <v>0</v>
      </c>
      <c r="CM50" s="148" t="str">
        <f>IF(CE50=0,"-",(CE50/CG50))</f>
        <v>-</v>
      </c>
      <c r="CN50" s="148">
        <f>IF(CG50=0,"-",(CH50/CG50))</f>
        <v>0.013494777775540322</v>
      </c>
      <c r="CO50" s="148">
        <f>IF(CG50=0,"-",(CI50/CG50))</f>
        <v>0.013494777775540322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0</v>
      </c>
      <c r="CT50" s="76">
        <f>Y50-K50-L50-V50</f>
        <v>1194313.85</v>
      </c>
      <c r="CU50" s="76">
        <f>AU50-AR50</f>
        <v>1194313.85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>
        <f>CS50/B50</f>
        <v>0</v>
      </c>
      <c r="DG50" s="76">
        <f>CH50/B50</f>
        <v>9.085118376550168</v>
      </c>
      <c r="DH50" s="76">
        <f>DE50/B50</f>
        <v>0</v>
      </c>
      <c r="DI50" s="77">
        <f>CZ50/B50</f>
        <v>0</v>
      </c>
      <c r="DJ50" s="72">
        <f>DB50/B50</f>
        <v>0</v>
      </c>
      <c r="DK50" s="151">
        <f>CA50-BW50-BU50</f>
        <v>0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1410</v>
      </c>
      <c r="C60" s="60">
        <f aca="true" t="shared" si="113" ref="C60:BN60">C10+C20+C26</f>
        <v>3489180</v>
      </c>
      <c r="D60" s="60">
        <f>(D10+D20+D26)/3</f>
        <v>2495.48</v>
      </c>
      <c r="E60" s="60">
        <f>(E10+E20+E26)/3</f>
        <v>78.31333333333333</v>
      </c>
      <c r="F60" s="60">
        <f>(F10+F20+F26)/3</f>
        <v>10</v>
      </c>
      <c r="G60" s="18">
        <f t="shared" si="113"/>
        <v>1169575.5499999998</v>
      </c>
      <c r="H60" s="18">
        <f t="shared" si="113"/>
        <v>204845.44</v>
      </c>
      <c r="I60" s="18">
        <f t="shared" si="113"/>
        <v>90761.80000000002</v>
      </c>
      <c r="J60" s="18">
        <f t="shared" si="113"/>
        <v>0</v>
      </c>
      <c r="K60" s="18">
        <f t="shared" si="113"/>
        <v>209243.5</v>
      </c>
      <c r="L60" s="18">
        <f t="shared" si="113"/>
        <v>0</v>
      </c>
      <c r="M60" s="18">
        <f t="shared" si="113"/>
        <v>209243.5</v>
      </c>
      <c r="N60" s="18">
        <f t="shared" si="113"/>
        <v>0</v>
      </c>
      <c r="O60" s="18">
        <f t="shared" si="113"/>
        <v>407419.94999999995</v>
      </c>
      <c r="P60" s="18">
        <f t="shared" si="113"/>
        <v>5000</v>
      </c>
      <c r="Q60" s="18">
        <f t="shared" si="113"/>
        <v>0</v>
      </c>
      <c r="R60" s="18">
        <f t="shared" si="113"/>
        <v>0</v>
      </c>
      <c r="S60" s="18">
        <f t="shared" si="113"/>
        <v>0</v>
      </c>
      <c r="T60" s="18">
        <f t="shared" si="113"/>
        <v>0</v>
      </c>
      <c r="U60" s="18">
        <f t="shared" si="113"/>
        <v>0</v>
      </c>
      <c r="V60" s="18">
        <f t="shared" si="113"/>
        <v>0</v>
      </c>
      <c r="W60" s="18">
        <f t="shared" si="113"/>
        <v>0</v>
      </c>
      <c r="X60" s="18">
        <f t="shared" si="113"/>
        <v>0</v>
      </c>
      <c r="Y60" s="18">
        <f t="shared" si="113"/>
        <v>2086846.2399999998</v>
      </c>
      <c r="Z60" s="18">
        <f t="shared" si="113"/>
        <v>452767.55</v>
      </c>
      <c r="AA60" s="18">
        <f t="shared" si="113"/>
        <v>4471.3</v>
      </c>
      <c r="AB60" s="18">
        <f t="shared" si="113"/>
        <v>0</v>
      </c>
      <c r="AC60" s="18">
        <f t="shared" si="113"/>
        <v>5917.15</v>
      </c>
      <c r="AD60" s="18">
        <f t="shared" si="113"/>
        <v>0</v>
      </c>
      <c r="AE60" s="18">
        <f t="shared" si="113"/>
        <v>463155.99999999994</v>
      </c>
      <c r="AF60" s="18">
        <f t="shared" si="113"/>
        <v>0</v>
      </c>
      <c r="AG60" s="18">
        <f t="shared" si="113"/>
        <v>3902.85</v>
      </c>
      <c r="AH60" s="18">
        <f t="shared" si="113"/>
        <v>0</v>
      </c>
      <c r="AI60" s="18">
        <f t="shared" si="113"/>
        <v>16141.1</v>
      </c>
      <c r="AJ60" s="18">
        <f t="shared" si="113"/>
        <v>770119.3500000001</v>
      </c>
      <c r="AK60" s="18">
        <f t="shared" si="113"/>
        <v>27372.4</v>
      </c>
      <c r="AL60" s="18">
        <f t="shared" si="113"/>
        <v>622062.8</v>
      </c>
      <c r="AM60" s="18">
        <f t="shared" si="113"/>
        <v>0</v>
      </c>
      <c r="AN60" s="18">
        <f t="shared" si="113"/>
        <v>0</v>
      </c>
      <c r="AO60" s="18">
        <f t="shared" si="113"/>
        <v>0</v>
      </c>
      <c r="AP60" s="18">
        <f t="shared" si="113"/>
        <v>0</v>
      </c>
      <c r="AQ60" s="18">
        <f t="shared" si="113"/>
        <v>0</v>
      </c>
      <c r="AR60" s="18">
        <f t="shared" si="113"/>
        <v>0</v>
      </c>
      <c r="AS60" s="18">
        <f t="shared" si="113"/>
        <v>0</v>
      </c>
      <c r="AT60" s="18">
        <f t="shared" si="113"/>
        <v>0</v>
      </c>
      <c r="AU60" s="18">
        <f t="shared" si="113"/>
        <v>1902754.4999999998</v>
      </c>
      <c r="AV60" s="18">
        <f t="shared" si="113"/>
        <v>0</v>
      </c>
      <c r="AW60" s="18">
        <f t="shared" si="113"/>
        <v>184091.74</v>
      </c>
      <c r="AX60" s="18">
        <f t="shared" si="113"/>
        <v>6.912159733474255E-11</v>
      </c>
      <c r="AY60" s="18">
        <f t="shared" si="113"/>
        <v>0</v>
      </c>
      <c r="AZ60" s="18">
        <f t="shared" si="113"/>
        <v>0</v>
      </c>
      <c r="BA60" s="18">
        <f t="shared" si="113"/>
        <v>0</v>
      </c>
      <c r="BB60" s="18">
        <f t="shared" si="113"/>
        <v>0</v>
      </c>
      <c r="BC60" s="18">
        <f t="shared" si="113"/>
        <v>0</v>
      </c>
      <c r="BD60" s="18">
        <f t="shared" si="113"/>
        <v>0</v>
      </c>
      <c r="BE60" s="18">
        <f t="shared" si="113"/>
        <v>0</v>
      </c>
      <c r="BF60" s="18">
        <f t="shared" si="113"/>
        <v>0</v>
      </c>
      <c r="BG60" s="18">
        <f t="shared" si="113"/>
        <v>0</v>
      </c>
      <c r="BH60" s="18">
        <f t="shared" si="113"/>
        <v>0</v>
      </c>
      <c r="BI60" s="18">
        <f t="shared" si="113"/>
        <v>0</v>
      </c>
      <c r="BJ60" s="18">
        <f t="shared" si="113"/>
        <v>0</v>
      </c>
      <c r="BK60" s="18">
        <f t="shared" si="113"/>
        <v>0</v>
      </c>
      <c r="BL60" s="18">
        <f t="shared" si="113"/>
        <v>0</v>
      </c>
      <c r="BM60" s="18">
        <f t="shared" si="113"/>
        <v>0</v>
      </c>
      <c r="BN60" s="18">
        <f t="shared" si="113"/>
        <v>0</v>
      </c>
      <c r="BO60" s="18">
        <f aca="true" t="shared" si="114" ref="BO60:CI60">BO10+BO20+BO26</f>
        <v>0</v>
      </c>
      <c r="BP60" s="18">
        <f t="shared" si="114"/>
        <v>0</v>
      </c>
      <c r="BQ60" s="18">
        <f t="shared" si="114"/>
        <v>0</v>
      </c>
      <c r="BR60" s="18">
        <f t="shared" si="114"/>
        <v>0</v>
      </c>
      <c r="BS60" s="18">
        <f t="shared" si="114"/>
        <v>0</v>
      </c>
      <c r="BT60" s="18">
        <f t="shared" si="114"/>
        <v>923317.34</v>
      </c>
      <c r="BU60" s="18">
        <f t="shared" si="114"/>
        <v>2204083.65</v>
      </c>
      <c r="BV60" s="18">
        <f t="shared" si="114"/>
        <v>0</v>
      </c>
      <c r="BW60" s="18">
        <f t="shared" si="114"/>
        <v>407344.95999999996</v>
      </c>
      <c r="BX60" s="18">
        <f t="shared" si="114"/>
        <v>3534745.95</v>
      </c>
      <c r="BY60" s="18">
        <f t="shared" si="114"/>
        <v>3534745.95</v>
      </c>
      <c r="BZ60" s="18">
        <f t="shared" si="114"/>
        <v>0</v>
      </c>
      <c r="CA60" s="18">
        <f t="shared" si="114"/>
        <v>0</v>
      </c>
      <c r="CB60" s="18">
        <f t="shared" si="114"/>
        <v>3534745.95</v>
      </c>
      <c r="CC60" s="18">
        <f t="shared" si="114"/>
        <v>0</v>
      </c>
      <c r="CD60" s="18">
        <f t="shared" si="114"/>
        <v>25151.76000000001</v>
      </c>
      <c r="CE60" s="18">
        <f t="shared" si="114"/>
        <v>25151.76000000001</v>
      </c>
      <c r="CF60" s="18">
        <f t="shared" si="114"/>
        <v>0</v>
      </c>
      <c r="CG60" s="18">
        <f t="shared" si="114"/>
        <v>1902754.4999999998</v>
      </c>
      <c r="CH60" s="18">
        <f t="shared" si="114"/>
        <v>86858.95000000001</v>
      </c>
      <c r="CI60" s="18">
        <f t="shared" si="114"/>
        <v>296102.45</v>
      </c>
      <c r="CJ60" s="156" t="e">
        <f aca="true" t="shared" si="115" ref="CJ60:CJ65">CD60/CF60</f>
        <v>#DIV/0!</v>
      </c>
      <c r="CK60" s="156" t="e">
        <f aca="true" t="shared" si="116" ref="CK60:CK65">CE60/CF60</f>
        <v>#DIV/0!</v>
      </c>
      <c r="CL60" s="156">
        <f aca="true" t="shared" si="117" ref="CL60:CL65">CD60/CG60*1</f>
        <v>0.013218604922495263</v>
      </c>
      <c r="CM60" s="156">
        <f aca="true" t="shared" si="118" ref="CM60:CM65">CE60/CG60</f>
        <v>0.013218604922495263</v>
      </c>
      <c r="CN60" s="156">
        <f aca="true" t="shared" si="119" ref="CN60:CN65">CH60/CG60</f>
        <v>0.04564905772131929</v>
      </c>
      <c r="CO60" s="156">
        <f aca="true" t="shared" si="120" ref="CO60:CO65">CI60/CG60</f>
        <v>0.15561778989354647</v>
      </c>
      <c r="CP60" s="156">
        <f aca="true" t="shared" si="121" ref="CP60:CP65">(K60+L60)/(BU60+K60+L60)</f>
        <v>0.08670332988215046</v>
      </c>
      <c r="CQ60" s="156">
        <f aca="true" t="shared" si="122" ref="CQ60:CQ65">(K60)/(BU60+K60+L60)</f>
        <v>0.08670332988215046</v>
      </c>
      <c r="CR60" s="18">
        <f aca="true" t="shared" si="123" ref="CR60:CR65">CS60/CE60</f>
        <v>-103.82687374561459</v>
      </c>
      <c r="CS60" s="18">
        <f aca="true" t="shared" si="124" ref="CS60:CS65">BT60-BY60</f>
        <v>-2611428.6100000003</v>
      </c>
      <c r="CT60" s="18">
        <f aca="true" t="shared" si="125" ref="CT60:CT65">Y60-K60-L60-V60</f>
        <v>1877602.7399999998</v>
      </c>
      <c r="CU60" s="18">
        <f aca="true" t="shared" si="126" ref="CU60:CU65">AU60-AR60</f>
        <v>1902754.4999999998</v>
      </c>
      <c r="CV60" s="18">
        <f aca="true" t="shared" si="127" ref="CV60:CV65">CU60-CT60</f>
        <v>25151.76000000001</v>
      </c>
      <c r="CW60" s="18">
        <f aca="true" t="shared" si="128" ref="CW60:CW65">-V60+AR60</f>
        <v>0</v>
      </c>
      <c r="CX60" s="18">
        <f aca="true" t="shared" si="129" ref="CX60:CX65">CV60+CW60</f>
        <v>25151.76000000001</v>
      </c>
      <c r="CY60" s="18">
        <f aca="true" t="shared" si="130" ref="CY60:CY65">CX60-K60-L60</f>
        <v>-184091.74</v>
      </c>
      <c r="CZ60" s="18">
        <f aca="true" t="shared" si="131" ref="CZ60:CZ65">BR60-BP60</f>
        <v>0</v>
      </c>
      <c r="DA60" s="18">
        <f aca="true" t="shared" si="132" ref="DA60:DA65">K60+L60</f>
        <v>209243.5</v>
      </c>
      <c r="DB60" s="18">
        <f aca="true" t="shared" si="133" ref="DB60:DB65">-CZ60+DA60+CY60</f>
        <v>25151.76000000001</v>
      </c>
      <c r="DC60" s="18">
        <f aca="true" t="shared" si="134" ref="DC60:DC65">-BP60-DA60</f>
        <v>-209243.5</v>
      </c>
      <c r="DD60" s="18">
        <f aca="true" t="shared" si="135" ref="DD60:DD65">DB60+DC60+BR60</f>
        <v>-184091.74</v>
      </c>
      <c r="DE60" s="18">
        <f aca="true" t="shared" si="136" ref="DE60:DE65">Z60+AA60+AB60</f>
        <v>457238.85</v>
      </c>
      <c r="DF60" s="18">
        <f aca="true" t="shared" si="137" ref="DF60:DF65">CS60/B60</f>
        <v>-1852.0770283687946</v>
      </c>
      <c r="DG60" s="18">
        <f aca="true" t="shared" si="138" ref="DG60:DG65">CH60/B60</f>
        <v>61.602092198581566</v>
      </c>
      <c r="DH60" s="18">
        <f aca="true" t="shared" si="139" ref="DH60:DH65">DE60/B60</f>
        <v>324.2828723404255</v>
      </c>
      <c r="DI60" s="18">
        <f aca="true" t="shared" si="140" ref="DI60:DI65">CZ60/B60</f>
        <v>0</v>
      </c>
      <c r="DJ60" s="18">
        <f aca="true" t="shared" si="141" ref="DJ60:DJ65">DB60/B60</f>
        <v>17.838127659574475</v>
      </c>
      <c r="DK60" s="18">
        <f aca="true" t="shared" si="142" ref="DK60:DK65">CA60-BW60-BU60</f>
        <v>-2611428.61</v>
      </c>
    </row>
    <row r="61" spans="1:115" ht="12.75">
      <c r="A61" s="3" t="s">
        <v>260</v>
      </c>
      <c r="B61" s="60">
        <f>B4+B19+B21+B24+B25</f>
        <v>14343</v>
      </c>
      <c r="C61" s="60">
        <f aca="true" t="shared" si="143" ref="C61:BN61">C4+C19+C21+C24+C25</f>
        <v>44090617</v>
      </c>
      <c r="D61" s="60">
        <f>(D4+D19+D21+D24+D25)/5</f>
        <v>2973.72</v>
      </c>
      <c r="E61" s="60">
        <f>(E4+E19+E21+E24+E25)/5</f>
        <v>93.322</v>
      </c>
      <c r="F61" s="60">
        <f>(F4+F19+F21+F24+F25)/5</f>
        <v>9.2</v>
      </c>
      <c r="G61" s="18">
        <f t="shared" si="143"/>
        <v>13605678.54</v>
      </c>
      <c r="H61" s="18">
        <f t="shared" si="143"/>
        <v>2271679.57</v>
      </c>
      <c r="I61" s="18">
        <f t="shared" si="143"/>
        <v>700402.3999999999</v>
      </c>
      <c r="J61" s="18">
        <f t="shared" si="143"/>
        <v>0</v>
      </c>
      <c r="K61" s="18">
        <f t="shared" si="143"/>
        <v>895735</v>
      </c>
      <c r="L61" s="18">
        <f t="shared" si="143"/>
        <v>615</v>
      </c>
      <c r="M61" s="18">
        <f t="shared" si="143"/>
        <v>896350</v>
      </c>
      <c r="N61" s="18">
        <f t="shared" si="143"/>
        <v>128.85</v>
      </c>
      <c r="O61" s="18">
        <f t="shared" si="143"/>
        <v>2097941.7</v>
      </c>
      <c r="P61" s="18">
        <f t="shared" si="143"/>
        <v>12962.95</v>
      </c>
      <c r="Q61" s="18">
        <f t="shared" si="143"/>
        <v>3500</v>
      </c>
      <c r="R61" s="18">
        <f t="shared" si="143"/>
        <v>0</v>
      </c>
      <c r="S61" s="18">
        <f t="shared" si="143"/>
        <v>0</v>
      </c>
      <c r="T61" s="18">
        <f t="shared" si="143"/>
        <v>0</v>
      </c>
      <c r="U61" s="18">
        <f t="shared" si="143"/>
        <v>0</v>
      </c>
      <c r="V61" s="18">
        <f t="shared" si="143"/>
        <v>0</v>
      </c>
      <c r="W61" s="18">
        <f t="shared" si="143"/>
        <v>0</v>
      </c>
      <c r="X61" s="18">
        <f t="shared" si="143"/>
        <v>2493536.6</v>
      </c>
      <c r="Y61" s="18">
        <f t="shared" si="143"/>
        <v>22082180.610000003</v>
      </c>
      <c r="Z61" s="18">
        <f t="shared" si="143"/>
        <v>5054318.4</v>
      </c>
      <c r="AA61" s="18">
        <f t="shared" si="143"/>
        <v>575296.45</v>
      </c>
      <c r="AB61" s="18">
        <f t="shared" si="143"/>
        <v>9673.2</v>
      </c>
      <c r="AC61" s="18">
        <f t="shared" si="143"/>
        <v>90079.40000000001</v>
      </c>
      <c r="AD61" s="18">
        <f t="shared" si="143"/>
        <v>0</v>
      </c>
      <c r="AE61" s="18">
        <f t="shared" si="143"/>
        <v>5729367.45</v>
      </c>
      <c r="AF61" s="18">
        <f t="shared" si="143"/>
        <v>0</v>
      </c>
      <c r="AG61" s="18">
        <f t="shared" si="143"/>
        <v>40418.25</v>
      </c>
      <c r="AH61" s="18">
        <f t="shared" si="143"/>
        <v>0</v>
      </c>
      <c r="AI61" s="18">
        <f t="shared" si="143"/>
        <v>204726.94999999998</v>
      </c>
      <c r="AJ61" s="18">
        <f t="shared" si="143"/>
        <v>5831748.2</v>
      </c>
      <c r="AK61" s="18">
        <f t="shared" si="143"/>
        <v>1097630.95</v>
      </c>
      <c r="AL61" s="18">
        <f t="shared" si="143"/>
        <v>5811055.550000001</v>
      </c>
      <c r="AM61" s="18">
        <f t="shared" si="143"/>
        <v>2034.5</v>
      </c>
      <c r="AN61" s="18">
        <f t="shared" si="143"/>
        <v>0</v>
      </c>
      <c r="AO61" s="18">
        <f t="shared" si="143"/>
        <v>0</v>
      </c>
      <c r="AP61" s="18">
        <f t="shared" si="143"/>
        <v>7880.75</v>
      </c>
      <c r="AQ61" s="18">
        <f t="shared" si="143"/>
        <v>0</v>
      </c>
      <c r="AR61" s="18">
        <f t="shared" si="143"/>
        <v>0</v>
      </c>
      <c r="AS61" s="18">
        <f t="shared" si="143"/>
        <v>7880.75</v>
      </c>
      <c r="AT61" s="18">
        <f t="shared" si="143"/>
        <v>2649867.38</v>
      </c>
      <c r="AU61" s="18">
        <f t="shared" si="143"/>
        <v>21374729.979999997</v>
      </c>
      <c r="AV61" s="18">
        <f t="shared" si="143"/>
        <v>15604</v>
      </c>
      <c r="AW61" s="18">
        <f t="shared" si="143"/>
        <v>723054.76</v>
      </c>
      <c r="AX61" s="18">
        <f t="shared" si="143"/>
        <v>-0.12999999661133188</v>
      </c>
      <c r="AY61" s="18">
        <f t="shared" si="143"/>
        <v>41881.15</v>
      </c>
      <c r="AZ61" s="18">
        <f t="shared" si="143"/>
        <v>2775305.6</v>
      </c>
      <c r="BA61" s="18">
        <f t="shared" si="143"/>
        <v>0</v>
      </c>
      <c r="BB61" s="18">
        <f t="shared" si="143"/>
        <v>0</v>
      </c>
      <c r="BC61" s="18">
        <f t="shared" si="143"/>
        <v>11294.5</v>
      </c>
      <c r="BD61" s="18">
        <f t="shared" si="143"/>
        <v>1980.1</v>
      </c>
      <c r="BE61" s="18">
        <f t="shared" si="143"/>
        <v>0</v>
      </c>
      <c r="BF61" s="18">
        <f t="shared" si="143"/>
        <v>2788580.1999999997</v>
      </c>
      <c r="BG61" s="18">
        <f t="shared" si="143"/>
        <v>47006.8</v>
      </c>
      <c r="BH61" s="18">
        <f t="shared" si="143"/>
        <v>0</v>
      </c>
      <c r="BI61" s="18">
        <f t="shared" si="143"/>
        <v>3735</v>
      </c>
      <c r="BJ61" s="18">
        <f t="shared" si="143"/>
        <v>0</v>
      </c>
      <c r="BK61" s="18">
        <f t="shared" si="143"/>
        <v>3000</v>
      </c>
      <c r="BL61" s="18">
        <f t="shared" si="143"/>
        <v>0</v>
      </c>
      <c r="BM61" s="18">
        <f t="shared" si="143"/>
        <v>930036.7</v>
      </c>
      <c r="BN61" s="18">
        <f t="shared" si="143"/>
        <v>0</v>
      </c>
      <c r="BO61" s="18">
        <f aca="true" t="shared" si="144" ref="BO61:CI61">BO4+BO19+BO21+BO24+BO25</f>
        <v>983778.5</v>
      </c>
      <c r="BP61" s="18">
        <f t="shared" si="144"/>
        <v>983778.5</v>
      </c>
      <c r="BQ61" s="18">
        <f t="shared" si="144"/>
        <v>0</v>
      </c>
      <c r="BR61" s="18">
        <f t="shared" si="144"/>
        <v>2788580.2</v>
      </c>
      <c r="BS61" s="18">
        <f t="shared" si="144"/>
        <v>0</v>
      </c>
      <c r="BT61" s="18">
        <f t="shared" si="144"/>
        <v>8743055.39</v>
      </c>
      <c r="BU61" s="18">
        <f t="shared" si="144"/>
        <v>14365372.549999999</v>
      </c>
      <c r="BV61" s="18">
        <f t="shared" si="144"/>
        <v>0</v>
      </c>
      <c r="BW61" s="18">
        <f t="shared" si="144"/>
        <v>1374418.91</v>
      </c>
      <c r="BX61" s="18">
        <f t="shared" si="144"/>
        <v>24482846.85</v>
      </c>
      <c r="BY61" s="18">
        <f t="shared" si="144"/>
        <v>23683146.45</v>
      </c>
      <c r="BZ61" s="18">
        <f t="shared" si="144"/>
        <v>62000</v>
      </c>
      <c r="CA61" s="18">
        <f t="shared" si="144"/>
        <v>737700.4</v>
      </c>
      <c r="CB61" s="18">
        <f t="shared" si="144"/>
        <v>24482846.85</v>
      </c>
      <c r="CC61" s="18">
        <f t="shared" si="144"/>
        <v>0</v>
      </c>
      <c r="CD61" s="18">
        <f t="shared" si="144"/>
        <v>188899.24000000002</v>
      </c>
      <c r="CE61" s="18">
        <f t="shared" si="144"/>
        <v>181018.49000000002</v>
      </c>
      <c r="CF61" s="18">
        <f t="shared" si="144"/>
        <v>1804801.7</v>
      </c>
      <c r="CG61" s="18">
        <f t="shared" si="144"/>
        <v>18714947.349999998</v>
      </c>
      <c r="CH61" s="18">
        <f t="shared" si="144"/>
        <v>701865.3</v>
      </c>
      <c r="CI61" s="18">
        <f t="shared" si="144"/>
        <v>1597600.3</v>
      </c>
      <c r="CJ61" s="156">
        <f t="shared" si="115"/>
        <v>0.10466481719293595</v>
      </c>
      <c r="CK61" s="156">
        <f t="shared" si="116"/>
        <v>0.10029827099564458</v>
      </c>
      <c r="CL61" s="156">
        <f t="shared" si="117"/>
        <v>0.010093495667782365</v>
      </c>
      <c r="CM61" s="156">
        <f t="shared" si="118"/>
        <v>0.009672401776754132</v>
      </c>
      <c r="CN61" s="156">
        <f t="shared" si="119"/>
        <v>0.03750292677152523</v>
      </c>
      <c r="CO61" s="156">
        <f t="shared" si="120"/>
        <v>0.0853649369203275</v>
      </c>
      <c r="CP61" s="156">
        <f t="shared" si="121"/>
        <v>0.05873190244832488</v>
      </c>
      <c r="CQ61" s="156">
        <f t="shared" si="122"/>
        <v>0.05869160555536374</v>
      </c>
      <c r="CR61" s="18">
        <f t="shared" si="123"/>
        <v>-82.53350837254249</v>
      </c>
      <c r="CS61" s="18">
        <f t="shared" si="124"/>
        <v>-14940091.059999999</v>
      </c>
      <c r="CT61" s="18">
        <f t="shared" si="125"/>
        <v>21185830.610000003</v>
      </c>
      <c r="CU61" s="18">
        <f t="shared" si="126"/>
        <v>21374729.979999997</v>
      </c>
      <c r="CV61" s="18">
        <f t="shared" si="127"/>
        <v>188899.3699999936</v>
      </c>
      <c r="CW61" s="18">
        <f t="shared" si="128"/>
        <v>0</v>
      </c>
      <c r="CX61" s="18">
        <f t="shared" si="129"/>
        <v>188899.3699999936</v>
      </c>
      <c r="CY61" s="18">
        <f t="shared" si="130"/>
        <v>-707450.6300000064</v>
      </c>
      <c r="CZ61" s="18">
        <f t="shared" si="131"/>
        <v>1804801.7000000002</v>
      </c>
      <c r="DA61" s="18">
        <f t="shared" si="132"/>
        <v>896350</v>
      </c>
      <c r="DB61" s="18">
        <f t="shared" si="133"/>
        <v>-1615902.3300000066</v>
      </c>
      <c r="DC61" s="18">
        <f t="shared" si="134"/>
        <v>-1880128.5</v>
      </c>
      <c r="DD61" s="18">
        <f t="shared" si="135"/>
        <v>-707450.6300000064</v>
      </c>
      <c r="DE61" s="18">
        <f t="shared" si="136"/>
        <v>5639288.050000001</v>
      </c>
      <c r="DF61" s="18">
        <f t="shared" si="137"/>
        <v>-1041.6294401450184</v>
      </c>
      <c r="DG61" s="18">
        <f t="shared" si="138"/>
        <v>48.93434427943945</v>
      </c>
      <c r="DH61" s="18">
        <f t="shared" si="139"/>
        <v>393.17353761416723</v>
      </c>
      <c r="DI61" s="18">
        <f t="shared" si="140"/>
        <v>125.83153454646867</v>
      </c>
      <c r="DJ61" s="18">
        <f t="shared" si="141"/>
        <v>-112.66139092240164</v>
      </c>
      <c r="DK61" s="18">
        <f t="shared" si="142"/>
        <v>-15002091.059999999</v>
      </c>
    </row>
    <row r="62" spans="1:115" ht="12.75">
      <c r="A62" s="3" t="s">
        <v>261</v>
      </c>
      <c r="B62" s="60">
        <f>B9+B11+B22+B27</f>
        <v>11714</v>
      </c>
      <c r="C62" s="60">
        <f aca="true" t="shared" si="145" ref="C62:BN62">C9+C11+C22+C27</f>
        <v>41580022</v>
      </c>
      <c r="D62" s="60">
        <f>(D9+D11+D22+D27)/4</f>
        <v>3302.475</v>
      </c>
      <c r="E62" s="60">
        <f>(E9+E11+E22+E27)/4</f>
        <v>103.64</v>
      </c>
      <c r="F62" s="60">
        <f>(F9+F11+F22+F27)/4</f>
        <v>13.25</v>
      </c>
      <c r="G62" s="18">
        <f t="shared" si="145"/>
        <v>8700627.4</v>
      </c>
      <c r="H62" s="18">
        <f t="shared" si="145"/>
        <v>1668491.65</v>
      </c>
      <c r="I62" s="18">
        <f t="shared" si="145"/>
        <v>526711.7000000001</v>
      </c>
      <c r="J62" s="18">
        <f t="shared" si="145"/>
        <v>0</v>
      </c>
      <c r="K62" s="18">
        <f t="shared" si="145"/>
        <v>1145472.7500000002</v>
      </c>
      <c r="L62" s="18">
        <f t="shared" si="145"/>
        <v>0</v>
      </c>
      <c r="M62" s="18">
        <f t="shared" si="145"/>
        <v>1145472.7500000002</v>
      </c>
      <c r="N62" s="18">
        <f t="shared" si="145"/>
        <v>0</v>
      </c>
      <c r="O62" s="18">
        <f t="shared" si="145"/>
        <v>3467374.1999999997</v>
      </c>
      <c r="P62" s="18">
        <f t="shared" si="145"/>
        <v>33267.5</v>
      </c>
      <c r="Q62" s="18">
        <f t="shared" si="145"/>
        <v>0</v>
      </c>
      <c r="R62" s="18">
        <f t="shared" si="145"/>
        <v>0</v>
      </c>
      <c r="S62" s="18">
        <f t="shared" si="145"/>
        <v>0</v>
      </c>
      <c r="T62" s="18">
        <f t="shared" si="145"/>
        <v>100000</v>
      </c>
      <c r="U62" s="18">
        <f t="shared" si="145"/>
        <v>0</v>
      </c>
      <c r="V62" s="18">
        <f t="shared" si="145"/>
        <v>0</v>
      </c>
      <c r="W62" s="18">
        <f t="shared" si="145"/>
        <v>100000</v>
      </c>
      <c r="X62" s="18">
        <f t="shared" si="145"/>
        <v>0</v>
      </c>
      <c r="Y62" s="18">
        <f t="shared" si="145"/>
        <v>15641945.2</v>
      </c>
      <c r="Z62" s="18">
        <f t="shared" si="145"/>
        <v>6845237.75</v>
      </c>
      <c r="AA62" s="18">
        <f t="shared" si="145"/>
        <v>481262.49999999994</v>
      </c>
      <c r="AB62" s="18">
        <f t="shared" si="145"/>
        <v>0</v>
      </c>
      <c r="AC62" s="18">
        <f t="shared" si="145"/>
        <v>61901.35</v>
      </c>
      <c r="AD62" s="18">
        <f t="shared" si="145"/>
        <v>0</v>
      </c>
      <c r="AE62" s="18">
        <f t="shared" si="145"/>
        <v>7388401.600000001</v>
      </c>
      <c r="AF62" s="18">
        <f t="shared" si="145"/>
        <v>0</v>
      </c>
      <c r="AG62" s="18">
        <f t="shared" si="145"/>
        <v>264794.55</v>
      </c>
      <c r="AH62" s="18">
        <f t="shared" si="145"/>
        <v>0</v>
      </c>
      <c r="AI62" s="18">
        <f t="shared" si="145"/>
        <v>281040.25</v>
      </c>
      <c r="AJ62" s="18">
        <f t="shared" si="145"/>
        <v>3507001.7500000005</v>
      </c>
      <c r="AK62" s="18">
        <f t="shared" si="145"/>
        <v>71572.04999999999</v>
      </c>
      <c r="AL62" s="18">
        <f t="shared" si="145"/>
        <v>3516587.5</v>
      </c>
      <c r="AM62" s="18">
        <f t="shared" si="145"/>
        <v>0</v>
      </c>
      <c r="AN62" s="18">
        <f t="shared" si="145"/>
        <v>0</v>
      </c>
      <c r="AO62" s="18">
        <f t="shared" si="145"/>
        <v>0</v>
      </c>
      <c r="AP62" s="18">
        <f t="shared" si="145"/>
        <v>0</v>
      </c>
      <c r="AQ62" s="18">
        <f t="shared" si="145"/>
        <v>0</v>
      </c>
      <c r="AR62" s="18">
        <f t="shared" si="145"/>
        <v>0</v>
      </c>
      <c r="AS62" s="18">
        <f t="shared" si="145"/>
        <v>0</v>
      </c>
      <c r="AT62" s="18">
        <f t="shared" si="145"/>
        <v>127327</v>
      </c>
      <c r="AU62" s="18">
        <f t="shared" si="145"/>
        <v>15156724.700000001</v>
      </c>
      <c r="AV62" s="18">
        <f t="shared" si="145"/>
        <v>0</v>
      </c>
      <c r="AW62" s="18">
        <f t="shared" si="145"/>
        <v>485220.5</v>
      </c>
      <c r="AX62" s="18">
        <f t="shared" si="145"/>
        <v>6.584741640836E-10</v>
      </c>
      <c r="AY62" s="18">
        <f t="shared" si="145"/>
        <v>0</v>
      </c>
      <c r="AZ62" s="18">
        <f t="shared" si="145"/>
        <v>34918.75</v>
      </c>
      <c r="BA62" s="18">
        <f t="shared" si="145"/>
        <v>59041.99999999999</v>
      </c>
      <c r="BB62" s="18">
        <f t="shared" si="145"/>
        <v>0</v>
      </c>
      <c r="BC62" s="18">
        <f t="shared" si="145"/>
        <v>0</v>
      </c>
      <c r="BD62" s="18">
        <f t="shared" si="145"/>
        <v>0</v>
      </c>
      <c r="BE62" s="18">
        <f t="shared" si="145"/>
        <v>0</v>
      </c>
      <c r="BF62" s="18">
        <f t="shared" si="145"/>
        <v>93960.75</v>
      </c>
      <c r="BG62" s="18">
        <f t="shared" si="145"/>
        <v>0</v>
      </c>
      <c r="BH62" s="18">
        <f t="shared" si="145"/>
        <v>0</v>
      </c>
      <c r="BI62" s="18">
        <f t="shared" si="145"/>
        <v>0</v>
      </c>
      <c r="BJ62" s="18">
        <f t="shared" si="145"/>
        <v>0</v>
      </c>
      <c r="BK62" s="18">
        <f t="shared" si="145"/>
        <v>11551</v>
      </c>
      <c r="BL62" s="18">
        <f t="shared" si="145"/>
        <v>0</v>
      </c>
      <c r="BM62" s="18">
        <f t="shared" si="145"/>
        <v>0</v>
      </c>
      <c r="BN62" s="18">
        <f t="shared" si="145"/>
        <v>0</v>
      </c>
      <c r="BO62" s="18">
        <f aca="true" t="shared" si="146" ref="BO62:CI62">BO9+BO11+BO22+BO27</f>
        <v>11551</v>
      </c>
      <c r="BP62" s="18">
        <f t="shared" si="146"/>
        <v>11551</v>
      </c>
      <c r="BQ62" s="18">
        <f t="shared" si="146"/>
        <v>0</v>
      </c>
      <c r="BR62" s="18">
        <f t="shared" si="146"/>
        <v>93960.75</v>
      </c>
      <c r="BS62" s="18">
        <f t="shared" si="146"/>
        <v>0</v>
      </c>
      <c r="BT62" s="18">
        <f t="shared" si="146"/>
        <v>9020925.55</v>
      </c>
      <c r="BU62" s="18">
        <f t="shared" si="146"/>
        <v>11926500.55</v>
      </c>
      <c r="BV62" s="18">
        <f t="shared" si="146"/>
        <v>0</v>
      </c>
      <c r="BW62" s="18">
        <f t="shared" si="146"/>
        <v>0</v>
      </c>
      <c r="BX62" s="18">
        <f t="shared" si="146"/>
        <v>20947426.099999998</v>
      </c>
      <c r="BY62" s="18">
        <f t="shared" si="146"/>
        <v>19149394.2</v>
      </c>
      <c r="BZ62" s="18">
        <f t="shared" si="146"/>
        <v>715537.7</v>
      </c>
      <c r="CA62" s="18">
        <f t="shared" si="146"/>
        <v>1082494.2</v>
      </c>
      <c r="CB62" s="18">
        <f t="shared" si="146"/>
        <v>20947426.099999998</v>
      </c>
      <c r="CC62" s="18">
        <f t="shared" si="146"/>
        <v>0</v>
      </c>
      <c r="CD62" s="18">
        <f t="shared" si="146"/>
        <v>660252.2500000001</v>
      </c>
      <c r="CE62" s="18">
        <f t="shared" si="146"/>
        <v>760252.2500000001</v>
      </c>
      <c r="CF62" s="18">
        <f t="shared" si="146"/>
        <v>82409.75</v>
      </c>
      <c r="CG62" s="18">
        <f t="shared" si="146"/>
        <v>15029397.700000003</v>
      </c>
      <c r="CH62" s="18">
        <f t="shared" si="146"/>
        <v>261917.15000000005</v>
      </c>
      <c r="CI62" s="18">
        <f t="shared" si="146"/>
        <v>1407389.9000000001</v>
      </c>
      <c r="CJ62" s="156">
        <f t="shared" si="115"/>
        <v>8.0118220234863</v>
      </c>
      <c r="CK62" s="156">
        <f t="shared" si="116"/>
        <v>9.225270674889805</v>
      </c>
      <c r="CL62" s="156">
        <f t="shared" si="117"/>
        <v>0.04393071919309181</v>
      </c>
      <c r="CM62" s="156">
        <f t="shared" si="118"/>
        <v>0.050584345771886786</v>
      </c>
      <c r="CN62" s="156">
        <f t="shared" si="119"/>
        <v>0.01742698910682229</v>
      </c>
      <c r="CO62" s="156">
        <f t="shared" si="120"/>
        <v>0.09364246845367595</v>
      </c>
      <c r="CP62" s="156">
        <f t="shared" si="121"/>
        <v>0.08762814333471751</v>
      </c>
      <c r="CQ62" s="156">
        <f t="shared" si="122"/>
        <v>0.08762814333471751</v>
      </c>
      <c r="CR62" s="18">
        <f t="shared" si="123"/>
        <v>-13.322510587768727</v>
      </c>
      <c r="CS62" s="18">
        <f t="shared" si="124"/>
        <v>-10128468.649999999</v>
      </c>
      <c r="CT62" s="18">
        <f t="shared" si="125"/>
        <v>14496472.45</v>
      </c>
      <c r="CU62" s="18">
        <f t="shared" si="126"/>
        <v>15156724.700000001</v>
      </c>
      <c r="CV62" s="18">
        <f t="shared" si="127"/>
        <v>660252.2500000019</v>
      </c>
      <c r="CW62" s="18">
        <f t="shared" si="128"/>
        <v>0</v>
      </c>
      <c r="CX62" s="18">
        <f t="shared" si="129"/>
        <v>660252.2500000019</v>
      </c>
      <c r="CY62" s="18">
        <f t="shared" si="130"/>
        <v>-485220.49999999837</v>
      </c>
      <c r="CZ62" s="18">
        <f t="shared" si="131"/>
        <v>82409.75</v>
      </c>
      <c r="DA62" s="18">
        <f t="shared" si="132"/>
        <v>1145472.7500000002</v>
      </c>
      <c r="DB62" s="18">
        <f t="shared" si="133"/>
        <v>577842.5000000019</v>
      </c>
      <c r="DC62" s="18">
        <f t="shared" si="134"/>
        <v>-1157023.7500000002</v>
      </c>
      <c r="DD62" s="18">
        <f t="shared" si="135"/>
        <v>-485220.49999999837</v>
      </c>
      <c r="DE62" s="18">
        <f t="shared" si="136"/>
        <v>7326500.25</v>
      </c>
      <c r="DF62" s="18">
        <f t="shared" si="137"/>
        <v>-864.6464614990608</v>
      </c>
      <c r="DG62" s="18">
        <f t="shared" si="138"/>
        <v>22.359326446986515</v>
      </c>
      <c r="DH62" s="18">
        <f t="shared" si="139"/>
        <v>625.4482030049513</v>
      </c>
      <c r="DI62" s="18">
        <f t="shared" si="140"/>
        <v>7.035150247567014</v>
      </c>
      <c r="DJ62" s="18">
        <f t="shared" si="141"/>
        <v>49.329221444425635</v>
      </c>
      <c r="DK62" s="18">
        <f t="shared" si="142"/>
        <v>-10844006.350000001</v>
      </c>
    </row>
    <row r="63" spans="1:115" ht="12.75">
      <c r="A63" s="3" t="s">
        <v>262</v>
      </c>
      <c r="B63" s="60">
        <f>B7+B8+B17</f>
        <v>1774</v>
      </c>
      <c r="C63" s="60">
        <f aca="true" t="shared" si="147" ref="C63:BN63">C7+C8+C17</f>
        <v>4251707</v>
      </c>
      <c r="D63" s="60">
        <f>(D7+D8+D17)/3</f>
        <v>2410.3866666666668</v>
      </c>
      <c r="E63" s="60">
        <f>(E7+E8+E17)/3</f>
        <v>75.64333333333333</v>
      </c>
      <c r="F63" s="60">
        <f>(F7+F8+F17)/3</f>
        <v>10</v>
      </c>
      <c r="G63" s="18">
        <f t="shared" si="147"/>
        <v>2218429.6</v>
      </c>
      <c r="H63" s="18">
        <f t="shared" si="147"/>
        <v>482593</v>
      </c>
      <c r="I63" s="18">
        <f t="shared" si="147"/>
        <v>42557.1</v>
      </c>
      <c r="J63" s="18">
        <f t="shared" si="147"/>
        <v>0</v>
      </c>
      <c r="K63" s="18">
        <f t="shared" si="147"/>
        <v>310643.2</v>
      </c>
      <c r="L63" s="18">
        <f t="shared" si="147"/>
        <v>0</v>
      </c>
      <c r="M63" s="18">
        <f t="shared" si="147"/>
        <v>310643.2</v>
      </c>
      <c r="N63" s="18">
        <f t="shared" si="147"/>
        <v>0</v>
      </c>
      <c r="O63" s="18">
        <f t="shared" si="147"/>
        <v>523349.19999999995</v>
      </c>
      <c r="P63" s="18">
        <f t="shared" si="147"/>
        <v>9234.1</v>
      </c>
      <c r="Q63" s="18">
        <f t="shared" si="147"/>
        <v>0</v>
      </c>
      <c r="R63" s="18">
        <f t="shared" si="147"/>
        <v>0</v>
      </c>
      <c r="S63" s="18">
        <f t="shared" si="147"/>
        <v>0</v>
      </c>
      <c r="T63" s="18">
        <f t="shared" si="147"/>
        <v>0</v>
      </c>
      <c r="U63" s="18">
        <f t="shared" si="147"/>
        <v>0</v>
      </c>
      <c r="V63" s="18">
        <f t="shared" si="147"/>
        <v>0</v>
      </c>
      <c r="W63" s="18">
        <f t="shared" si="147"/>
        <v>0</v>
      </c>
      <c r="X63" s="18">
        <f t="shared" si="147"/>
        <v>36440.200000000004</v>
      </c>
      <c r="Y63" s="18">
        <f t="shared" si="147"/>
        <v>3623246.4000000004</v>
      </c>
      <c r="Z63" s="18">
        <f t="shared" si="147"/>
        <v>608649.1000000001</v>
      </c>
      <c r="AA63" s="18">
        <f t="shared" si="147"/>
        <v>274051.8</v>
      </c>
      <c r="AB63" s="18">
        <f t="shared" si="147"/>
        <v>0</v>
      </c>
      <c r="AC63" s="18">
        <f t="shared" si="147"/>
        <v>8313.6</v>
      </c>
      <c r="AD63" s="18">
        <f t="shared" si="147"/>
        <v>0</v>
      </c>
      <c r="AE63" s="18">
        <f t="shared" si="147"/>
        <v>891014.5000000001</v>
      </c>
      <c r="AF63" s="18">
        <f t="shared" si="147"/>
        <v>0</v>
      </c>
      <c r="AG63" s="18">
        <f t="shared" si="147"/>
        <v>952.25</v>
      </c>
      <c r="AH63" s="18">
        <f t="shared" si="147"/>
        <v>0</v>
      </c>
      <c r="AI63" s="18">
        <f t="shared" si="147"/>
        <v>40007.5</v>
      </c>
      <c r="AJ63" s="18">
        <f t="shared" si="147"/>
        <v>688437.6000000001</v>
      </c>
      <c r="AK63" s="18">
        <f t="shared" si="147"/>
        <v>612141.6000000001</v>
      </c>
      <c r="AL63" s="18">
        <f t="shared" si="147"/>
        <v>727327.15</v>
      </c>
      <c r="AM63" s="18">
        <f t="shared" si="147"/>
        <v>0</v>
      </c>
      <c r="AN63" s="18">
        <f t="shared" si="147"/>
        <v>0</v>
      </c>
      <c r="AO63" s="18">
        <f t="shared" si="147"/>
        <v>0</v>
      </c>
      <c r="AP63" s="18">
        <f t="shared" si="147"/>
        <v>0</v>
      </c>
      <c r="AQ63" s="18">
        <f t="shared" si="147"/>
        <v>0</v>
      </c>
      <c r="AR63" s="18">
        <f t="shared" si="147"/>
        <v>0</v>
      </c>
      <c r="AS63" s="18">
        <f t="shared" si="147"/>
        <v>0</v>
      </c>
      <c r="AT63" s="18">
        <f t="shared" si="147"/>
        <v>56435</v>
      </c>
      <c r="AU63" s="18">
        <f t="shared" si="147"/>
        <v>3016315.6</v>
      </c>
      <c r="AV63" s="18">
        <f t="shared" si="147"/>
        <v>0</v>
      </c>
      <c r="AW63" s="18">
        <f t="shared" si="147"/>
        <v>606930.8</v>
      </c>
      <c r="AX63" s="18">
        <f t="shared" si="147"/>
        <v>-2.3283064365386963E-10</v>
      </c>
      <c r="AY63" s="18">
        <f t="shared" si="147"/>
        <v>0</v>
      </c>
      <c r="AZ63" s="18">
        <f t="shared" si="147"/>
        <v>0</v>
      </c>
      <c r="BA63" s="18">
        <f t="shared" si="147"/>
        <v>0</v>
      </c>
      <c r="BB63" s="18">
        <f t="shared" si="147"/>
        <v>0</v>
      </c>
      <c r="BC63" s="18">
        <f t="shared" si="147"/>
        <v>0</v>
      </c>
      <c r="BD63" s="18">
        <f t="shared" si="147"/>
        <v>0</v>
      </c>
      <c r="BE63" s="18">
        <f t="shared" si="147"/>
        <v>0</v>
      </c>
      <c r="BF63" s="18">
        <f t="shared" si="147"/>
        <v>0</v>
      </c>
      <c r="BG63" s="18">
        <f t="shared" si="147"/>
        <v>0</v>
      </c>
      <c r="BH63" s="18">
        <f t="shared" si="147"/>
        <v>0</v>
      </c>
      <c r="BI63" s="18">
        <f t="shared" si="147"/>
        <v>0</v>
      </c>
      <c r="BJ63" s="18">
        <f t="shared" si="147"/>
        <v>0</v>
      </c>
      <c r="BK63" s="18">
        <f t="shared" si="147"/>
        <v>0</v>
      </c>
      <c r="BL63" s="18">
        <f t="shared" si="147"/>
        <v>0</v>
      </c>
      <c r="BM63" s="18">
        <f t="shared" si="147"/>
        <v>0</v>
      </c>
      <c r="BN63" s="18">
        <f t="shared" si="147"/>
        <v>0</v>
      </c>
      <c r="BO63" s="18">
        <f aca="true" t="shared" si="148" ref="BO63:CI63">BO7+BO8+BO17</f>
        <v>0</v>
      </c>
      <c r="BP63" s="18">
        <f t="shared" si="148"/>
        <v>0</v>
      </c>
      <c r="BQ63" s="18">
        <f t="shared" si="148"/>
        <v>0</v>
      </c>
      <c r="BR63" s="18">
        <f t="shared" si="148"/>
        <v>0</v>
      </c>
      <c r="BS63" s="18">
        <f t="shared" si="148"/>
        <v>0</v>
      </c>
      <c r="BT63" s="18">
        <f t="shared" si="148"/>
        <v>54900.32</v>
      </c>
      <c r="BU63" s="18">
        <f t="shared" si="148"/>
        <v>858963.9</v>
      </c>
      <c r="BV63" s="18">
        <f t="shared" si="148"/>
        <v>0</v>
      </c>
      <c r="BW63" s="18">
        <f t="shared" si="148"/>
        <v>533767.55</v>
      </c>
      <c r="BX63" s="18">
        <f t="shared" si="148"/>
        <v>1447631.77</v>
      </c>
      <c r="BY63" s="18">
        <f t="shared" si="148"/>
        <v>1286717.45</v>
      </c>
      <c r="BZ63" s="18">
        <f t="shared" si="148"/>
        <v>0</v>
      </c>
      <c r="CA63" s="18">
        <f t="shared" si="148"/>
        <v>160914.32</v>
      </c>
      <c r="CB63" s="18">
        <f t="shared" si="148"/>
        <v>1447631.77</v>
      </c>
      <c r="CC63" s="18">
        <f t="shared" si="148"/>
        <v>0</v>
      </c>
      <c r="CD63" s="18">
        <f t="shared" si="148"/>
        <v>-296287.6</v>
      </c>
      <c r="CE63" s="18">
        <f t="shared" si="148"/>
        <v>-296287.6</v>
      </c>
      <c r="CF63" s="18">
        <f t="shared" si="148"/>
        <v>0</v>
      </c>
      <c r="CG63" s="18">
        <f t="shared" si="148"/>
        <v>2959880.6000000006</v>
      </c>
      <c r="CH63" s="18">
        <f t="shared" si="148"/>
        <v>41604.85</v>
      </c>
      <c r="CI63" s="18">
        <f t="shared" si="148"/>
        <v>352248.05</v>
      </c>
      <c r="CJ63" s="156" t="e">
        <f t="shared" si="115"/>
        <v>#DIV/0!</v>
      </c>
      <c r="CK63" s="156" t="e">
        <f t="shared" si="116"/>
        <v>#DIV/0!</v>
      </c>
      <c r="CL63" s="156">
        <f t="shared" si="117"/>
        <v>-0.10010120002813624</v>
      </c>
      <c r="CM63" s="156">
        <f t="shared" si="118"/>
        <v>-0.10010120002813624</v>
      </c>
      <c r="CN63" s="156">
        <f t="shared" si="119"/>
        <v>0.014056259566686572</v>
      </c>
      <c r="CO63" s="156">
        <f t="shared" si="120"/>
        <v>0.11900752010064188</v>
      </c>
      <c r="CP63" s="156">
        <f t="shared" si="121"/>
        <v>0.26559619892868297</v>
      </c>
      <c r="CQ63" s="156">
        <f t="shared" si="122"/>
        <v>0.26559619892868297</v>
      </c>
      <c r="CR63" s="18">
        <f t="shared" si="123"/>
        <v>4.157504836516952</v>
      </c>
      <c r="CS63" s="18">
        <f t="shared" si="124"/>
        <v>-1231817.13</v>
      </c>
      <c r="CT63" s="18">
        <f t="shared" si="125"/>
        <v>3312603.2</v>
      </c>
      <c r="CU63" s="18">
        <f t="shared" si="126"/>
        <v>3016315.6</v>
      </c>
      <c r="CV63" s="18">
        <f t="shared" si="127"/>
        <v>-296287.6000000001</v>
      </c>
      <c r="CW63" s="18">
        <f t="shared" si="128"/>
        <v>0</v>
      </c>
      <c r="CX63" s="18">
        <f t="shared" si="129"/>
        <v>-296287.6000000001</v>
      </c>
      <c r="CY63" s="18">
        <f t="shared" si="130"/>
        <v>-606930.8</v>
      </c>
      <c r="CZ63" s="18">
        <f t="shared" si="131"/>
        <v>0</v>
      </c>
      <c r="DA63" s="18">
        <f t="shared" si="132"/>
        <v>310643.2</v>
      </c>
      <c r="DB63" s="18">
        <f t="shared" si="133"/>
        <v>-296287.60000000003</v>
      </c>
      <c r="DC63" s="18">
        <f t="shared" si="134"/>
        <v>-310643.2</v>
      </c>
      <c r="DD63" s="18">
        <f t="shared" si="135"/>
        <v>-606930.8</v>
      </c>
      <c r="DE63" s="18">
        <f t="shared" si="136"/>
        <v>882700.9000000001</v>
      </c>
      <c r="DF63" s="18">
        <f t="shared" si="137"/>
        <v>-694.3726775648252</v>
      </c>
      <c r="DG63" s="18">
        <f t="shared" si="138"/>
        <v>23.452564825253663</v>
      </c>
      <c r="DH63" s="18">
        <f t="shared" si="139"/>
        <v>497.57660653889525</v>
      </c>
      <c r="DI63" s="18">
        <f t="shared" si="140"/>
        <v>0</v>
      </c>
      <c r="DJ63" s="18">
        <f t="shared" si="141"/>
        <v>-167.0166854565953</v>
      </c>
      <c r="DK63" s="18">
        <f t="shared" si="142"/>
        <v>-1231817.1300000001</v>
      </c>
    </row>
    <row r="64" spans="1:115" ht="12.75">
      <c r="A64" s="3" t="s">
        <v>263</v>
      </c>
      <c r="B64" s="60">
        <f>B3+B5+B6+B12+B13+B14+B15+B16+B18+B23+B28+B29+B30+B31</f>
        <v>8725</v>
      </c>
      <c r="C64" s="60">
        <f>C3+C5+C6+C12+C13+C14+C15+C16+C18+C23+C28+C29+C30+C31</f>
        <v>27566765</v>
      </c>
      <c r="D64" s="60">
        <f>(D3+D5+D6+D12+D13+D14+D15+D16+D18+D23+D28+D29+D30+D31)/14</f>
        <v>2790.715714285714</v>
      </c>
      <c r="E64" s="60">
        <f>(E3+E5+E6+E12+E13+E14+E15+E16+E18+E23+E28+E29+E30+E31)/14</f>
        <v>87.58071428571428</v>
      </c>
      <c r="F64" s="60">
        <f>(F3+F5+F6+F12+F13+F14+F15+F16+F18+F23+F28+F29+F30+F31)/14</f>
        <v>10.857142857142858</v>
      </c>
      <c r="G64" s="18">
        <f>G3+G5+G6+G12+G13+G14+G15+G16+G18+G23+G28+G29+G30+G31</f>
        <v>10166717.899999999</v>
      </c>
      <c r="H64" s="18">
        <f aca="true" t="shared" si="149" ref="H64:BS64">H3+H5+H6+H12+H13+H14+H15+H16+H18+H23+H28+H29+H30+H31</f>
        <v>1868039.07</v>
      </c>
      <c r="I64" s="18">
        <f t="shared" si="149"/>
        <v>320747.65</v>
      </c>
      <c r="J64" s="18">
        <f t="shared" si="149"/>
        <v>0</v>
      </c>
      <c r="K64" s="18">
        <f t="shared" si="149"/>
        <v>1328748.6500000004</v>
      </c>
      <c r="L64" s="18">
        <f t="shared" si="149"/>
        <v>219697.85</v>
      </c>
      <c r="M64" s="18">
        <f t="shared" si="149"/>
        <v>1548446.5000000002</v>
      </c>
      <c r="N64" s="18">
        <f t="shared" si="149"/>
        <v>0</v>
      </c>
      <c r="O64" s="18">
        <f t="shared" si="149"/>
        <v>2146651.2600000002</v>
      </c>
      <c r="P64" s="18">
        <f t="shared" si="149"/>
        <v>27909.55</v>
      </c>
      <c r="Q64" s="18">
        <f t="shared" si="149"/>
        <v>0</v>
      </c>
      <c r="R64" s="18">
        <f t="shared" si="149"/>
        <v>20.35</v>
      </c>
      <c r="S64" s="18">
        <f t="shared" si="149"/>
        <v>0</v>
      </c>
      <c r="T64" s="18">
        <f t="shared" si="149"/>
        <v>0</v>
      </c>
      <c r="U64" s="18">
        <f t="shared" si="149"/>
        <v>0</v>
      </c>
      <c r="V64" s="18">
        <f t="shared" si="149"/>
        <v>0</v>
      </c>
      <c r="W64" s="18">
        <f t="shared" si="149"/>
        <v>20.35</v>
      </c>
      <c r="X64" s="18">
        <f t="shared" si="149"/>
        <v>1294738.9</v>
      </c>
      <c r="Y64" s="18">
        <f t="shared" si="149"/>
        <v>17373271.18</v>
      </c>
      <c r="Z64" s="18">
        <f t="shared" si="149"/>
        <v>3660341.0999999996</v>
      </c>
      <c r="AA64" s="18">
        <f t="shared" si="149"/>
        <v>351072.85000000003</v>
      </c>
      <c r="AB64" s="18">
        <f t="shared" si="149"/>
        <v>0</v>
      </c>
      <c r="AC64" s="18">
        <f t="shared" si="149"/>
        <v>52554.25</v>
      </c>
      <c r="AD64" s="18">
        <f t="shared" si="149"/>
        <v>0</v>
      </c>
      <c r="AE64" s="18">
        <f t="shared" si="149"/>
        <v>4063968.1999999997</v>
      </c>
      <c r="AF64" s="18">
        <f t="shared" si="149"/>
        <v>0</v>
      </c>
      <c r="AG64" s="18">
        <f t="shared" si="149"/>
        <v>36275.35</v>
      </c>
      <c r="AH64" s="18">
        <f t="shared" si="149"/>
        <v>0</v>
      </c>
      <c r="AI64" s="18">
        <f t="shared" si="149"/>
        <v>239360.80000000002</v>
      </c>
      <c r="AJ64" s="18">
        <f t="shared" si="149"/>
        <v>4102990.55</v>
      </c>
      <c r="AK64" s="18">
        <f t="shared" si="149"/>
        <v>1229931.4</v>
      </c>
      <c r="AL64" s="18">
        <f t="shared" si="149"/>
        <v>4426585.75</v>
      </c>
      <c r="AM64" s="18">
        <f t="shared" si="149"/>
        <v>0</v>
      </c>
      <c r="AN64" s="18">
        <f t="shared" si="149"/>
        <v>0</v>
      </c>
      <c r="AO64" s="18">
        <f t="shared" si="149"/>
        <v>0</v>
      </c>
      <c r="AP64" s="18">
        <f t="shared" si="149"/>
        <v>219698.85</v>
      </c>
      <c r="AQ64" s="18">
        <f t="shared" si="149"/>
        <v>4500</v>
      </c>
      <c r="AR64" s="18">
        <f t="shared" si="149"/>
        <v>0</v>
      </c>
      <c r="AS64" s="18">
        <f t="shared" si="149"/>
        <v>224198.85</v>
      </c>
      <c r="AT64" s="18">
        <f t="shared" si="149"/>
        <v>1294738.9</v>
      </c>
      <c r="AU64" s="18">
        <f t="shared" si="149"/>
        <v>15618049.8</v>
      </c>
      <c r="AV64" s="18">
        <f t="shared" si="149"/>
        <v>0</v>
      </c>
      <c r="AW64" s="18">
        <f t="shared" si="149"/>
        <v>1755221.1699999997</v>
      </c>
      <c r="AX64" s="18">
        <f t="shared" si="149"/>
        <v>0.20999999990817741</v>
      </c>
      <c r="AY64" s="18">
        <f t="shared" si="149"/>
        <v>0</v>
      </c>
      <c r="AZ64" s="18">
        <f t="shared" si="149"/>
        <v>108296.30000000002</v>
      </c>
      <c r="BA64" s="18">
        <f t="shared" si="149"/>
        <v>0</v>
      </c>
      <c r="BB64" s="18">
        <f t="shared" si="149"/>
        <v>0</v>
      </c>
      <c r="BC64" s="18">
        <f t="shared" si="149"/>
        <v>0</v>
      </c>
      <c r="BD64" s="18">
        <f t="shared" si="149"/>
        <v>0</v>
      </c>
      <c r="BE64" s="18">
        <f t="shared" si="149"/>
        <v>32667</v>
      </c>
      <c r="BF64" s="18">
        <f t="shared" si="149"/>
        <v>140963.3</v>
      </c>
      <c r="BG64" s="18">
        <f t="shared" si="149"/>
        <v>0</v>
      </c>
      <c r="BH64" s="18">
        <f t="shared" si="149"/>
        <v>0</v>
      </c>
      <c r="BI64" s="18">
        <f t="shared" si="149"/>
        <v>0</v>
      </c>
      <c r="BJ64" s="18">
        <f t="shared" si="149"/>
        <v>0</v>
      </c>
      <c r="BK64" s="18">
        <f t="shared" si="149"/>
        <v>0</v>
      </c>
      <c r="BL64" s="18">
        <f t="shared" si="149"/>
        <v>33185.99999999999</v>
      </c>
      <c r="BM64" s="18">
        <f t="shared" si="149"/>
        <v>89636</v>
      </c>
      <c r="BN64" s="18">
        <f t="shared" si="149"/>
        <v>0</v>
      </c>
      <c r="BO64" s="18">
        <f t="shared" si="149"/>
        <v>122822</v>
      </c>
      <c r="BP64" s="18">
        <f t="shared" si="149"/>
        <v>122822</v>
      </c>
      <c r="BQ64" s="18">
        <f t="shared" si="149"/>
        <v>0</v>
      </c>
      <c r="BR64" s="18">
        <f t="shared" si="149"/>
        <v>140963.3</v>
      </c>
      <c r="BS64" s="18">
        <f t="shared" si="149"/>
        <v>0</v>
      </c>
      <c r="BT64" s="18">
        <f aca="true" t="shared" si="150" ref="BT64:CI64">BT3+BT5+BT6+BT12+BT13+BT14+BT15+BT16+BT18+BT23+BT28+BT29+BT30+BT31</f>
        <v>7145109.680000001</v>
      </c>
      <c r="BU64" s="18">
        <f t="shared" si="150"/>
        <v>7489487.6</v>
      </c>
      <c r="BV64" s="18">
        <f t="shared" si="150"/>
        <v>0</v>
      </c>
      <c r="BW64" s="18">
        <f t="shared" si="150"/>
        <v>930478.7699999999</v>
      </c>
      <c r="BX64" s="18">
        <f t="shared" si="150"/>
        <v>15565076.05</v>
      </c>
      <c r="BY64" s="18">
        <f t="shared" si="150"/>
        <v>14533766.030000003</v>
      </c>
      <c r="BZ64" s="18">
        <f t="shared" si="150"/>
        <v>382691.35</v>
      </c>
      <c r="CA64" s="18">
        <f t="shared" si="150"/>
        <v>648618.67</v>
      </c>
      <c r="CB64" s="18">
        <f t="shared" si="150"/>
        <v>15565076.05</v>
      </c>
      <c r="CC64" s="18">
        <f t="shared" si="150"/>
        <v>0</v>
      </c>
      <c r="CD64" s="18">
        <f t="shared" si="150"/>
        <v>-206774.66999999995</v>
      </c>
      <c r="CE64" s="18">
        <f t="shared" si="150"/>
        <v>-430953.1699999999</v>
      </c>
      <c r="CF64" s="18">
        <f t="shared" si="150"/>
        <v>18141.300000000003</v>
      </c>
      <c r="CG64" s="18">
        <f t="shared" si="150"/>
        <v>14099112.05</v>
      </c>
      <c r="CH64" s="18">
        <f t="shared" si="150"/>
        <v>284472.30000000005</v>
      </c>
      <c r="CI64" s="18">
        <f t="shared" si="150"/>
        <v>1613220.9500000002</v>
      </c>
      <c r="CJ64" s="156">
        <f t="shared" si="115"/>
        <v>-11.398007309288746</v>
      </c>
      <c r="CK64" s="156">
        <f t="shared" si="116"/>
        <v>-23.75536317683958</v>
      </c>
      <c r="CL64" s="156">
        <f t="shared" si="117"/>
        <v>-0.014665793793730432</v>
      </c>
      <c r="CM64" s="156">
        <f t="shared" si="118"/>
        <v>-0.03056597950790808</v>
      </c>
      <c r="CN64" s="156">
        <f t="shared" si="119"/>
        <v>0.020176611051190278</v>
      </c>
      <c r="CO64" s="156">
        <f t="shared" si="120"/>
        <v>0.1144200389555738</v>
      </c>
      <c r="CP64" s="156">
        <f t="shared" si="121"/>
        <v>0.17132748290342154</v>
      </c>
      <c r="CQ64" s="156">
        <f t="shared" si="122"/>
        <v>0.1470190682182558</v>
      </c>
      <c r="CR64" s="18">
        <f t="shared" si="123"/>
        <v>17.144917045162945</v>
      </c>
      <c r="CS64" s="18">
        <f t="shared" si="124"/>
        <v>-7388656.350000002</v>
      </c>
      <c r="CT64" s="18">
        <f t="shared" si="125"/>
        <v>15824824.68</v>
      </c>
      <c r="CU64" s="18">
        <f t="shared" si="126"/>
        <v>15618049.8</v>
      </c>
      <c r="CV64" s="18">
        <f t="shared" si="127"/>
        <v>-206774.87999999896</v>
      </c>
      <c r="CW64" s="18">
        <f t="shared" si="128"/>
        <v>0</v>
      </c>
      <c r="CX64" s="18">
        <f t="shared" si="129"/>
        <v>-206774.87999999896</v>
      </c>
      <c r="CY64" s="18">
        <f t="shared" si="130"/>
        <v>-1755221.3799999994</v>
      </c>
      <c r="CZ64" s="18">
        <f t="shared" si="131"/>
        <v>18141.29999999999</v>
      </c>
      <c r="DA64" s="18">
        <f t="shared" si="132"/>
        <v>1548446.5000000005</v>
      </c>
      <c r="DB64" s="18">
        <f t="shared" si="133"/>
        <v>-224916.179999999</v>
      </c>
      <c r="DC64" s="18">
        <f t="shared" si="134"/>
        <v>-1671268.5000000005</v>
      </c>
      <c r="DD64" s="18">
        <f t="shared" si="135"/>
        <v>-1755221.3799999994</v>
      </c>
      <c r="DE64" s="18">
        <f t="shared" si="136"/>
        <v>4011413.9499999997</v>
      </c>
      <c r="DF64" s="18">
        <f t="shared" si="137"/>
        <v>-846.8374040114616</v>
      </c>
      <c r="DG64" s="18">
        <f t="shared" si="138"/>
        <v>32.604275071633246</v>
      </c>
      <c r="DH64" s="18">
        <f t="shared" si="139"/>
        <v>459.76091117478506</v>
      </c>
      <c r="DI64" s="18">
        <f t="shared" si="140"/>
        <v>2.079232091690543</v>
      </c>
      <c r="DJ64" s="18">
        <f t="shared" si="141"/>
        <v>-25.7783587392549</v>
      </c>
      <c r="DK64" s="18">
        <f t="shared" si="142"/>
        <v>-7771347.699999999</v>
      </c>
    </row>
    <row r="65" spans="1:115" ht="12.75">
      <c r="A65" s="3" t="s">
        <v>250</v>
      </c>
      <c r="B65" s="60">
        <f>SUM(B60:B64)</f>
        <v>37966</v>
      </c>
      <c r="C65" s="60">
        <f aca="true" t="shared" si="151" ref="C65:BN65">SUM(C60:C64)</f>
        <v>120978291</v>
      </c>
      <c r="D65" s="60">
        <f>MEDIAN(D60:D64)</f>
        <v>2790.715714285714</v>
      </c>
      <c r="E65" s="60">
        <f>MEDIAN(E60:E64)</f>
        <v>87.58071428571428</v>
      </c>
      <c r="F65" s="60">
        <f>MEDIAN(F60:F64)</f>
        <v>10</v>
      </c>
      <c r="G65" s="18">
        <f t="shared" si="151"/>
        <v>35861028.99</v>
      </c>
      <c r="H65" s="18">
        <f t="shared" si="151"/>
        <v>6495648.73</v>
      </c>
      <c r="I65" s="18">
        <f t="shared" si="151"/>
        <v>1681180.65</v>
      </c>
      <c r="J65" s="18">
        <f t="shared" si="151"/>
        <v>0</v>
      </c>
      <c r="K65" s="18">
        <f t="shared" si="151"/>
        <v>3889843.1000000006</v>
      </c>
      <c r="L65" s="18">
        <f t="shared" si="151"/>
        <v>220312.85</v>
      </c>
      <c r="M65" s="18">
        <f t="shared" si="151"/>
        <v>4110155.95</v>
      </c>
      <c r="N65" s="18">
        <f t="shared" si="151"/>
        <v>128.85</v>
      </c>
      <c r="O65" s="18">
        <f t="shared" si="151"/>
        <v>8642736.31</v>
      </c>
      <c r="P65" s="18">
        <f t="shared" si="151"/>
        <v>88374.09999999999</v>
      </c>
      <c r="Q65" s="18">
        <f t="shared" si="151"/>
        <v>3500</v>
      </c>
      <c r="R65" s="18">
        <f t="shared" si="151"/>
        <v>20.35</v>
      </c>
      <c r="S65" s="18">
        <f t="shared" si="151"/>
        <v>0</v>
      </c>
      <c r="T65" s="18">
        <f t="shared" si="151"/>
        <v>100000</v>
      </c>
      <c r="U65" s="18">
        <f t="shared" si="151"/>
        <v>0</v>
      </c>
      <c r="V65" s="18">
        <f t="shared" si="151"/>
        <v>0</v>
      </c>
      <c r="W65" s="18">
        <f t="shared" si="151"/>
        <v>100020.35</v>
      </c>
      <c r="X65" s="18">
        <f t="shared" si="151"/>
        <v>3824715.7</v>
      </c>
      <c r="Y65" s="18">
        <f t="shared" si="151"/>
        <v>60807489.629999995</v>
      </c>
      <c r="Z65" s="18">
        <f t="shared" si="151"/>
        <v>16621313.899999999</v>
      </c>
      <c r="AA65" s="18">
        <f t="shared" si="151"/>
        <v>1686154.9000000001</v>
      </c>
      <c r="AB65" s="18">
        <f t="shared" si="151"/>
        <v>9673.2</v>
      </c>
      <c r="AC65" s="18">
        <f t="shared" si="151"/>
        <v>218765.75</v>
      </c>
      <c r="AD65" s="18">
        <f t="shared" si="151"/>
        <v>0</v>
      </c>
      <c r="AE65" s="18">
        <f t="shared" si="151"/>
        <v>18535907.75</v>
      </c>
      <c r="AF65" s="18">
        <f t="shared" si="151"/>
        <v>0</v>
      </c>
      <c r="AG65" s="18">
        <f t="shared" si="151"/>
        <v>346343.24999999994</v>
      </c>
      <c r="AH65" s="18">
        <f t="shared" si="151"/>
        <v>0</v>
      </c>
      <c r="AI65" s="18">
        <f t="shared" si="151"/>
        <v>781276.6000000001</v>
      </c>
      <c r="AJ65" s="18">
        <f t="shared" si="151"/>
        <v>14900297.45</v>
      </c>
      <c r="AK65" s="18">
        <f t="shared" si="151"/>
        <v>3038648.4</v>
      </c>
      <c r="AL65" s="18">
        <f t="shared" si="151"/>
        <v>15103618.750000002</v>
      </c>
      <c r="AM65" s="18">
        <f t="shared" si="151"/>
        <v>2034.5</v>
      </c>
      <c r="AN65" s="18">
        <f t="shared" si="151"/>
        <v>0</v>
      </c>
      <c r="AO65" s="18">
        <f t="shared" si="151"/>
        <v>0</v>
      </c>
      <c r="AP65" s="18">
        <f t="shared" si="151"/>
        <v>227579.6</v>
      </c>
      <c r="AQ65" s="18">
        <f t="shared" si="151"/>
        <v>4500</v>
      </c>
      <c r="AR65" s="18">
        <f t="shared" si="151"/>
        <v>0</v>
      </c>
      <c r="AS65" s="18">
        <f t="shared" si="151"/>
        <v>232079.6</v>
      </c>
      <c r="AT65" s="18">
        <f t="shared" si="151"/>
        <v>4128368.28</v>
      </c>
      <c r="AU65" s="18">
        <f t="shared" si="151"/>
        <v>57068574.58</v>
      </c>
      <c r="AV65" s="18">
        <f t="shared" si="151"/>
        <v>15604</v>
      </c>
      <c r="AW65" s="18">
        <f t="shared" si="151"/>
        <v>3754518.9699999997</v>
      </c>
      <c r="AX65" s="18">
        <f t="shared" si="151"/>
        <v>0.08000000379161065</v>
      </c>
      <c r="AY65" s="18">
        <f t="shared" si="151"/>
        <v>41881.15</v>
      </c>
      <c r="AZ65" s="18">
        <f t="shared" si="151"/>
        <v>2918520.65</v>
      </c>
      <c r="BA65" s="18">
        <f t="shared" si="151"/>
        <v>59041.99999999999</v>
      </c>
      <c r="BB65" s="18">
        <f t="shared" si="151"/>
        <v>0</v>
      </c>
      <c r="BC65" s="18">
        <f t="shared" si="151"/>
        <v>11294.5</v>
      </c>
      <c r="BD65" s="18">
        <f t="shared" si="151"/>
        <v>1980.1</v>
      </c>
      <c r="BE65" s="18">
        <f t="shared" si="151"/>
        <v>32667</v>
      </c>
      <c r="BF65" s="18">
        <f t="shared" si="151"/>
        <v>3023504.2499999995</v>
      </c>
      <c r="BG65" s="18">
        <f t="shared" si="151"/>
        <v>47006.8</v>
      </c>
      <c r="BH65" s="18">
        <f t="shared" si="151"/>
        <v>0</v>
      </c>
      <c r="BI65" s="18">
        <f t="shared" si="151"/>
        <v>3735</v>
      </c>
      <c r="BJ65" s="18">
        <f t="shared" si="151"/>
        <v>0</v>
      </c>
      <c r="BK65" s="18">
        <f t="shared" si="151"/>
        <v>14551</v>
      </c>
      <c r="BL65" s="18">
        <f t="shared" si="151"/>
        <v>33185.99999999999</v>
      </c>
      <c r="BM65" s="18">
        <f t="shared" si="151"/>
        <v>1019672.7</v>
      </c>
      <c r="BN65" s="18">
        <f t="shared" si="151"/>
        <v>0</v>
      </c>
      <c r="BO65" s="18">
        <f aca="true" t="shared" si="152" ref="BO65:CI65">SUM(BO60:BO64)</f>
        <v>1118151.5</v>
      </c>
      <c r="BP65" s="18">
        <f t="shared" si="152"/>
        <v>1118151.5</v>
      </c>
      <c r="BQ65" s="18">
        <f t="shared" si="152"/>
        <v>0</v>
      </c>
      <c r="BR65" s="18">
        <f t="shared" si="152"/>
        <v>3023504.25</v>
      </c>
      <c r="BS65" s="18">
        <f t="shared" si="152"/>
        <v>0</v>
      </c>
      <c r="BT65" s="18">
        <f t="shared" si="152"/>
        <v>25887308.28</v>
      </c>
      <c r="BU65" s="18">
        <f t="shared" si="152"/>
        <v>36844408.25</v>
      </c>
      <c r="BV65" s="18">
        <f t="shared" si="152"/>
        <v>0</v>
      </c>
      <c r="BW65" s="18">
        <f t="shared" si="152"/>
        <v>3246010.19</v>
      </c>
      <c r="BX65" s="18">
        <f t="shared" si="152"/>
        <v>65977726.72</v>
      </c>
      <c r="BY65" s="18">
        <f t="shared" si="152"/>
        <v>62187770.08</v>
      </c>
      <c r="BZ65" s="18">
        <f t="shared" si="152"/>
        <v>1160229.0499999998</v>
      </c>
      <c r="CA65" s="18">
        <f t="shared" si="152"/>
        <v>2629727.5900000003</v>
      </c>
      <c r="CB65" s="18">
        <f t="shared" si="152"/>
        <v>65977726.72</v>
      </c>
      <c r="CC65" s="18">
        <f t="shared" si="152"/>
        <v>0</v>
      </c>
      <c r="CD65" s="18">
        <f t="shared" si="152"/>
        <v>371240.9800000002</v>
      </c>
      <c r="CE65" s="18">
        <f t="shared" si="152"/>
        <v>239181.7300000002</v>
      </c>
      <c r="CF65" s="18">
        <f t="shared" si="152"/>
        <v>1905352.75</v>
      </c>
      <c r="CG65" s="18">
        <f t="shared" si="152"/>
        <v>52706092.2</v>
      </c>
      <c r="CH65" s="18">
        <f t="shared" si="152"/>
        <v>1376718.5500000003</v>
      </c>
      <c r="CI65" s="18">
        <f t="shared" si="152"/>
        <v>5266561.65</v>
      </c>
      <c r="CJ65" s="156">
        <f t="shared" si="115"/>
        <v>0.1948410760159767</v>
      </c>
      <c r="CK65" s="156">
        <f t="shared" si="116"/>
        <v>0.1255314691728344</v>
      </c>
      <c r="CL65" s="156">
        <f t="shared" si="117"/>
        <v>0.0070436066212474805</v>
      </c>
      <c r="CM65" s="156">
        <f t="shared" si="118"/>
        <v>0.004538028148480342</v>
      </c>
      <c r="CN65" s="156">
        <f t="shared" si="119"/>
        <v>0.02612067206151171</v>
      </c>
      <c r="CO65" s="156">
        <f t="shared" si="120"/>
        <v>0.09992320489281123</v>
      </c>
      <c r="CP65" s="156">
        <f t="shared" si="121"/>
        <v>0.1003589228767816</v>
      </c>
      <c r="CQ65" s="156">
        <f t="shared" si="122"/>
        <v>0.09497947728131362</v>
      </c>
      <c r="CR65" s="18">
        <f t="shared" si="123"/>
        <v>-151.769375528808</v>
      </c>
      <c r="CS65" s="18">
        <f t="shared" si="124"/>
        <v>-36300461.8</v>
      </c>
      <c r="CT65" s="18">
        <f t="shared" si="125"/>
        <v>56697333.67999999</v>
      </c>
      <c r="CU65" s="18">
        <f t="shared" si="126"/>
        <v>57068574.58</v>
      </c>
      <c r="CV65" s="18">
        <f t="shared" si="127"/>
        <v>371240.90000000596</v>
      </c>
      <c r="CW65" s="18">
        <f t="shared" si="128"/>
        <v>0</v>
      </c>
      <c r="CX65" s="18">
        <f t="shared" si="129"/>
        <v>371240.90000000596</v>
      </c>
      <c r="CY65" s="18">
        <f t="shared" si="130"/>
        <v>-3738915.0499999947</v>
      </c>
      <c r="CZ65" s="18">
        <f t="shared" si="131"/>
        <v>1905352.75</v>
      </c>
      <c r="DA65" s="18">
        <f t="shared" si="132"/>
        <v>4110155.9500000007</v>
      </c>
      <c r="DB65" s="18">
        <f t="shared" si="133"/>
        <v>-1534111.849999994</v>
      </c>
      <c r="DC65" s="18">
        <f t="shared" si="134"/>
        <v>-5228307.450000001</v>
      </c>
      <c r="DD65" s="18">
        <f t="shared" si="135"/>
        <v>-3738915.049999995</v>
      </c>
      <c r="DE65" s="18">
        <f t="shared" si="136"/>
        <v>18317141.999999996</v>
      </c>
      <c r="DF65" s="18">
        <f t="shared" si="137"/>
        <v>-956.1307959753462</v>
      </c>
      <c r="DG65" s="18">
        <f t="shared" si="138"/>
        <v>36.261880366643844</v>
      </c>
      <c r="DH65" s="18">
        <f t="shared" si="139"/>
        <v>482.4617289153452</v>
      </c>
      <c r="DI65" s="18">
        <f t="shared" si="140"/>
        <v>50.185764894905965</v>
      </c>
      <c r="DJ65" s="18">
        <f t="shared" si="141"/>
        <v>-40.40751856924601</v>
      </c>
      <c r="DK65" s="18">
        <f t="shared" si="142"/>
        <v>-37460690.85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1997</oddHeader>
    <oddFooter>&amp;L&amp;8BHP Bern&amp;R&amp;8&amp;F/&amp;A/&amp;Pvon &amp;N</oddFooter>
  </headerFooter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DO65"/>
  <sheetViews>
    <sheetView workbookViewId="0" topLeftCell="A1">
      <pane xSplit="6" ySplit="2" topLeftCell="G12" activePane="bottomRight" state="frozen"/>
      <selection pane="topLeft" activeCell="N5" sqref="N5"/>
      <selection pane="topRight" activeCell="N5" sqref="N5"/>
      <selection pane="bottomLeft" activeCell="N5" sqref="N5"/>
      <selection pane="bottomRight" activeCell="G23" sqref="G23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6"/>
      <c r="B1" s="22" t="s">
        <v>201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1:118" s="1" customFormat="1" ht="89.25" customHeight="1">
      <c r="A2" s="47"/>
      <c r="B2" s="43" t="s">
        <v>66</v>
      </c>
      <c r="C2" s="19" t="s">
        <v>37</v>
      </c>
      <c r="D2" s="54" t="s">
        <v>68</v>
      </c>
      <c r="E2" s="19" t="s">
        <v>52</v>
      </c>
      <c r="F2" s="131" t="s">
        <v>216</v>
      </c>
      <c r="G2" s="126" t="s">
        <v>76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28"/>
    </row>
    <row r="3" spans="1:118" s="5" customFormat="1" ht="12.75" customHeight="1">
      <c r="A3" s="48" t="s">
        <v>38</v>
      </c>
      <c r="B3" s="39">
        <v>176</v>
      </c>
      <c r="C3" s="6">
        <v>360586</v>
      </c>
      <c r="D3" s="31">
        <v>2048.79</v>
      </c>
      <c r="E3" s="31">
        <v>57.32</v>
      </c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>
        <f aca="true" t="shared" si="30" ref="DF3:DF14">CS3/B3</f>
        <v>0</v>
      </c>
      <c r="DG3" s="76">
        <f aca="true" t="shared" si="31" ref="DG3:DG14">CH3/B3</f>
        <v>0</v>
      </c>
      <c r="DH3" s="76">
        <f aca="true" t="shared" si="32" ref="DH3:DH14">DE3/B3</f>
        <v>0</v>
      </c>
      <c r="DI3" s="77">
        <f aca="true" t="shared" si="33" ref="DI3:DI14">CZ3/B3</f>
        <v>0</v>
      </c>
      <c r="DJ3" s="72">
        <f aca="true" t="shared" si="34" ref="DJ3:DJ14">DB3/B3</f>
        <v>0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4">
        <v>1971</v>
      </c>
      <c r="C4" s="36">
        <v>6295352</v>
      </c>
      <c r="D4" s="37">
        <v>3193.99</v>
      </c>
      <c r="E4" s="37">
        <v>89.37</v>
      </c>
      <c r="F4" s="124">
        <v>0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>
        <f t="shared" si="30"/>
        <v>0</v>
      </c>
      <c r="DG4" s="76">
        <f t="shared" si="31"/>
        <v>0</v>
      </c>
      <c r="DH4" s="76">
        <f t="shared" si="32"/>
        <v>0</v>
      </c>
      <c r="DI4" s="77">
        <f t="shared" si="33"/>
        <v>0</v>
      </c>
      <c r="DJ4" s="72">
        <f t="shared" si="34"/>
        <v>0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39">
        <v>406</v>
      </c>
      <c r="C5" s="4">
        <v>1369240</v>
      </c>
      <c r="D5" s="32">
        <v>3372.51</v>
      </c>
      <c r="E5" s="32">
        <v>94.36</v>
      </c>
      <c r="F5" s="8">
        <v>10</v>
      </c>
      <c r="G5" s="129">
        <v>342763.1</v>
      </c>
      <c r="H5" s="41">
        <v>94902.15</v>
      </c>
      <c r="I5" s="41">
        <v>30363.25</v>
      </c>
      <c r="J5" s="41">
        <v>0</v>
      </c>
      <c r="K5" s="41">
        <v>59191</v>
      </c>
      <c r="L5" s="41">
        <v>0</v>
      </c>
      <c r="M5" s="41">
        <f t="shared" si="0"/>
        <v>59191</v>
      </c>
      <c r="N5" s="41">
        <v>0</v>
      </c>
      <c r="O5" s="41">
        <v>93391.5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620611</v>
      </c>
      <c r="Z5" s="41">
        <v>368184.7</v>
      </c>
      <c r="AA5" s="41">
        <v>16273.15</v>
      </c>
      <c r="AB5" s="41">
        <v>0</v>
      </c>
      <c r="AC5" s="41">
        <v>11750.4</v>
      </c>
      <c r="AD5" s="41">
        <v>0</v>
      </c>
      <c r="AE5" s="41">
        <f t="shared" si="3"/>
        <v>396208.25000000006</v>
      </c>
      <c r="AF5" s="41">
        <v>0</v>
      </c>
      <c r="AG5" s="41">
        <v>11539.15</v>
      </c>
      <c r="AH5" s="41">
        <v>0</v>
      </c>
      <c r="AI5" s="41">
        <v>7056.5</v>
      </c>
      <c r="AJ5" s="41">
        <v>0</v>
      </c>
      <c r="AK5" s="41">
        <v>0</v>
      </c>
      <c r="AL5" s="41">
        <v>148364.2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563168.1000000001</v>
      </c>
      <c r="AV5" s="4">
        <v>0</v>
      </c>
      <c r="AW5" s="4">
        <v>57442.9</v>
      </c>
      <c r="AX5" s="153">
        <f t="shared" si="6"/>
        <v>-9.458744898438454E-11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f t="shared" si="7"/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0</v>
      </c>
      <c r="BS5" s="41">
        <f t="shared" si="9"/>
        <v>0</v>
      </c>
      <c r="BT5" s="4">
        <v>1075703.7</v>
      </c>
      <c r="BU5" s="4">
        <v>0</v>
      </c>
      <c r="BV5" s="4">
        <v>0</v>
      </c>
      <c r="BW5" s="4">
        <v>75627.35</v>
      </c>
      <c r="BX5" s="4">
        <f t="shared" si="10"/>
        <v>1151331.05</v>
      </c>
      <c r="BY5" s="4">
        <v>991331.05</v>
      </c>
      <c r="BZ5" s="4">
        <v>160000</v>
      </c>
      <c r="CA5" s="4">
        <v>0</v>
      </c>
      <c r="CB5" s="4">
        <f t="shared" si="11"/>
        <v>1151331.05</v>
      </c>
      <c r="CC5" s="153">
        <f t="shared" si="12"/>
        <v>0</v>
      </c>
      <c r="CD5" s="70">
        <f t="shared" si="13"/>
        <v>1748.0999999999985</v>
      </c>
      <c r="CE5" s="72">
        <f t="shared" si="14"/>
        <v>1748.0999999999985</v>
      </c>
      <c r="CF5" s="72">
        <f t="shared" si="15"/>
        <v>0</v>
      </c>
      <c r="CG5" s="72">
        <f t="shared" si="35"/>
        <v>563168.1000000001</v>
      </c>
      <c r="CH5" s="72">
        <f t="shared" si="16"/>
        <v>18824.1</v>
      </c>
      <c r="CI5" s="35">
        <f t="shared" si="17"/>
        <v>78015.1</v>
      </c>
      <c r="CJ5" s="57" t="str">
        <f t="shared" si="36"/>
        <v>-</v>
      </c>
      <c r="CK5" s="57" t="str">
        <f t="shared" si="37"/>
        <v>-</v>
      </c>
      <c r="CL5" s="148">
        <f t="shared" si="38"/>
        <v>0.0031040465537731953</v>
      </c>
      <c r="CM5" s="148">
        <f t="shared" si="39"/>
        <v>0.0031040465537731953</v>
      </c>
      <c r="CN5" s="148">
        <f t="shared" si="40"/>
        <v>0.033425366244998596</v>
      </c>
      <c r="CO5" s="148">
        <f t="shared" si="41"/>
        <v>0.13852897562912386</v>
      </c>
      <c r="CP5" s="148">
        <f t="shared" si="42"/>
        <v>1</v>
      </c>
      <c r="CQ5" s="148">
        <f t="shared" si="43"/>
        <v>1</v>
      </c>
      <c r="CR5" s="149">
        <f t="shared" si="44"/>
        <v>48.26534523196612</v>
      </c>
      <c r="CS5" s="72">
        <f t="shared" si="45"/>
        <v>84372.6499999999</v>
      </c>
      <c r="CT5" s="76">
        <f t="shared" si="18"/>
        <v>561420</v>
      </c>
      <c r="CU5" s="76">
        <f t="shared" si="19"/>
        <v>563168.1000000001</v>
      </c>
      <c r="CV5" s="76">
        <f t="shared" si="20"/>
        <v>1748.1000000000931</v>
      </c>
      <c r="CW5" s="76">
        <f t="shared" si="21"/>
        <v>0</v>
      </c>
      <c r="CX5" s="76">
        <f t="shared" si="22"/>
        <v>1748.1000000000931</v>
      </c>
      <c r="CY5" s="76">
        <f t="shared" si="23"/>
        <v>-57442.89999999991</v>
      </c>
      <c r="CZ5" s="76">
        <f t="shared" si="24"/>
        <v>0</v>
      </c>
      <c r="DA5" s="76">
        <f t="shared" si="25"/>
        <v>59191</v>
      </c>
      <c r="DB5" s="76">
        <f t="shared" si="26"/>
        <v>1748.1000000000931</v>
      </c>
      <c r="DC5" s="76">
        <f t="shared" si="27"/>
        <v>-59191</v>
      </c>
      <c r="DD5" s="76">
        <f t="shared" si="28"/>
        <v>-57442.89999999991</v>
      </c>
      <c r="DE5" s="76">
        <f t="shared" si="29"/>
        <v>384457.85000000003</v>
      </c>
      <c r="DF5" s="76">
        <f t="shared" si="30"/>
        <v>207.81440886699485</v>
      </c>
      <c r="DG5" s="76">
        <f t="shared" si="31"/>
        <v>46.36477832512315</v>
      </c>
      <c r="DH5" s="76">
        <f t="shared" si="32"/>
        <v>946.9405172413794</v>
      </c>
      <c r="DI5" s="77">
        <f t="shared" si="33"/>
        <v>0</v>
      </c>
      <c r="DJ5" s="72">
        <f t="shared" si="34"/>
        <v>4.3056650246307715</v>
      </c>
      <c r="DK5" s="151">
        <f aca="true" t="shared" si="46" ref="DK5:DK31">CA5-BW5-BU5</f>
        <v>-75627.35</v>
      </c>
      <c r="DL5" s="72">
        <v>10</v>
      </c>
      <c r="DM5" s="72">
        <v>32</v>
      </c>
      <c r="DN5" s="63">
        <v>0</v>
      </c>
    </row>
    <row r="6" spans="1:118" ht="12.75">
      <c r="A6" s="49" t="s">
        <v>1</v>
      </c>
      <c r="B6" s="44">
        <v>210</v>
      </c>
      <c r="C6" s="36">
        <v>719115</v>
      </c>
      <c r="D6" s="37">
        <v>3424.36</v>
      </c>
      <c r="E6" s="37">
        <v>95.81</v>
      </c>
      <c r="F6" s="124">
        <v>8</v>
      </c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>
        <f t="shared" si="30"/>
        <v>0</v>
      </c>
      <c r="DG6" s="76">
        <f t="shared" si="31"/>
        <v>0</v>
      </c>
      <c r="DH6" s="76">
        <f t="shared" si="32"/>
        <v>0</v>
      </c>
      <c r="DI6" s="77">
        <f t="shared" si="33"/>
        <v>0</v>
      </c>
      <c r="DJ6" s="72">
        <f t="shared" si="34"/>
        <v>0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39">
        <v>745</v>
      </c>
      <c r="C7" s="4">
        <v>1623908</v>
      </c>
      <c r="D7" s="32">
        <v>2179.74</v>
      </c>
      <c r="E7" s="32">
        <v>60.99</v>
      </c>
      <c r="F7" s="8">
        <v>10</v>
      </c>
      <c r="G7" s="143">
        <f>(G50/($B$50)*$B$7)+(G48)</f>
        <v>1021203.9990051165</v>
      </c>
      <c r="H7" s="143">
        <f aca="true" t="shared" si="47" ref="H7:BU7">(H50/($B$50)*$B$7)+(H48)</f>
        <v>212235.10466173964</v>
      </c>
      <c r="I7" s="143">
        <f t="shared" si="47"/>
        <v>16574.681353041502</v>
      </c>
      <c r="J7" s="143">
        <f t="shared" si="47"/>
        <v>0</v>
      </c>
      <c r="K7" s="143">
        <f t="shared" si="47"/>
        <v>158453.5</v>
      </c>
      <c r="L7" s="143">
        <f t="shared" si="47"/>
        <v>0</v>
      </c>
      <c r="M7" s="41">
        <f t="shared" si="0"/>
        <v>158453.5</v>
      </c>
      <c r="N7" s="143">
        <f t="shared" si="47"/>
        <v>0</v>
      </c>
      <c r="O7" s="143">
        <f t="shared" si="47"/>
        <v>0</v>
      </c>
      <c r="P7" s="143">
        <f t="shared" si="47"/>
        <v>0</v>
      </c>
      <c r="Q7" s="143">
        <f t="shared" si="47"/>
        <v>0</v>
      </c>
      <c r="R7" s="143">
        <f t="shared" si="47"/>
        <v>0</v>
      </c>
      <c r="S7" s="143">
        <f t="shared" si="47"/>
        <v>0</v>
      </c>
      <c r="T7" s="143">
        <f t="shared" si="47"/>
        <v>0</v>
      </c>
      <c r="U7" s="143">
        <f t="shared" si="47"/>
        <v>0</v>
      </c>
      <c r="V7" s="143">
        <f t="shared" si="47"/>
        <v>0</v>
      </c>
      <c r="W7" s="41">
        <f t="shared" si="1"/>
        <v>0</v>
      </c>
      <c r="X7" s="143">
        <f t="shared" si="47"/>
        <v>1833.9324900511656</v>
      </c>
      <c r="Y7" s="41">
        <f t="shared" si="2"/>
        <v>1410301.2175099489</v>
      </c>
      <c r="Z7" s="143">
        <f t="shared" si="47"/>
        <v>267296.55</v>
      </c>
      <c r="AA7" s="143">
        <f t="shared" si="47"/>
        <v>211271.3</v>
      </c>
      <c r="AB7" s="143">
        <f t="shared" si="47"/>
        <v>0</v>
      </c>
      <c r="AC7" s="143">
        <f t="shared" si="47"/>
        <v>21561.75</v>
      </c>
      <c r="AD7" s="143">
        <f t="shared" si="47"/>
        <v>0</v>
      </c>
      <c r="AE7" s="41">
        <f t="shared" si="3"/>
        <v>500129.6</v>
      </c>
      <c r="AF7" s="143">
        <f t="shared" si="47"/>
        <v>0</v>
      </c>
      <c r="AG7" s="143">
        <f t="shared" si="47"/>
        <v>0</v>
      </c>
      <c r="AH7" s="143">
        <f t="shared" si="47"/>
        <v>0</v>
      </c>
      <c r="AI7" s="143">
        <f t="shared" si="47"/>
        <v>0</v>
      </c>
      <c r="AJ7" s="143">
        <f t="shared" si="47"/>
        <v>129794.96731097213</v>
      </c>
      <c r="AK7" s="143">
        <f t="shared" si="47"/>
        <v>190558.25156338827</v>
      </c>
      <c r="AL7" s="143">
        <f t="shared" si="47"/>
        <v>246098.84863558845</v>
      </c>
      <c r="AM7" s="143">
        <f t="shared" si="47"/>
        <v>0</v>
      </c>
      <c r="AN7" s="143">
        <f t="shared" si="47"/>
        <v>0</v>
      </c>
      <c r="AO7" s="143">
        <f t="shared" si="47"/>
        <v>0</v>
      </c>
      <c r="AP7" s="143">
        <f t="shared" si="47"/>
        <v>0</v>
      </c>
      <c r="AQ7" s="143">
        <f t="shared" si="47"/>
        <v>0</v>
      </c>
      <c r="AR7" s="143">
        <f t="shared" si="47"/>
        <v>0</v>
      </c>
      <c r="AS7" s="4">
        <f t="shared" si="4"/>
        <v>0</v>
      </c>
      <c r="AT7" s="143">
        <f t="shared" si="47"/>
        <v>0</v>
      </c>
      <c r="AU7" s="4">
        <f t="shared" si="5"/>
        <v>1066581.6675099488</v>
      </c>
      <c r="AV7" s="143">
        <f t="shared" si="47"/>
        <v>0</v>
      </c>
      <c r="AW7" s="143">
        <f t="shared" si="47"/>
        <v>343719.55</v>
      </c>
      <c r="AX7" s="4">
        <f t="shared" si="6"/>
        <v>0</v>
      </c>
      <c r="AY7" s="143">
        <f t="shared" si="47"/>
        <v>0</v>
      </c>
      <c r="AZ7" s="143">
        <f t="shared" si="47"/>
        <v>0</v>
      </c>
      <c r="BA7" s="143">
        <f t="shared" si="47"/>
        <v>0</v>
      </c>
      <c r="BB7" s="143">
        <f t="shared" si="47"/>
        <v>0</v>
      </c>
      <c r="BC7" s="143">
        <f t="shared" si="47"/>
        <v>0</v>
      </c>
      <c r="BD7" s="143">
        <f t="shared" si="47"/>
        <v>0</v>
      </c>
      <c r="BE7" s="143">
        <f t="shared" si="47"/>
        <v>0</v>
      </c>
      <c r="BF7" s="41">
        <f t="shared" si="7"/>
        <v>0</v>
      </c>
      <c r="BG7" s="143">
        <f t="shared" si="47"/>
        <v>0</v>
      </c>
      <c r="BH7" s="143">
        <f t="shared" si="47"/>
        <v>0</v>
      </c>
      <c r="BI7" s="143">
        <f t="shared" si="47"/>
        <v>0</v>
      </c>
      <c r="BJ7" s="143">
        <f t="shared" si="47"/>
        <v>0</v>
      </c>
      <c r="BK7" s="143">
        <f t="shared" si="47"/>
        <v>0</v>
      </c>
      <c r="BL7" s="143">
        <f t="shared" si="47"/>
        <v>0</v>
      </c>
      <c r="BM7" s="143">
        <f t="shared" si="47"/>
        <v>0</v>
      </c>
      <c r="BN7" s="143">
        <f t="shared" si="47"/>
        <v>0</v>
      </c>
      <c r="BO7" s="41">
        <f t="shared" si="8"/>
        <v>0</v>
      </c>
      <c r="BP7" s="143">
        <f t="shared" si="47"/>
        <v>0</v>
      </c>
      <c r="BQ7" s="143">
        <f t="shared" si="47"/>
        <v>0</v>
      </c>
      <c r="BR7" s="143">
        <f t="shared" si="47"/>
        <v>0</v>
      </c>
      <c r="BS7" s="41">
        <f t="shared" si="9"/>
        <v>0</v>
      </c>
      <c r="BT7" s="143">
        <f t="shared" si="47"/>
        <v>261158.83165434908</v>
      </c>
      <c r="BU7" s="143">
        <f t="shared" si="47"/>
        <v>0</v>
      </c>
      <c r="BV7" s="143">
        <f aca="true" t="shared" si="48" ref="BV7:CA7">(BV50/($B$50)*$B$7)+(BV48)</f>
        <v>0</v>
      </c>
      <c r="BW7" s="143">
        <f t="shared" si="48"/>
        <v>343719.55</v>
      </c>
      <c r="BX7" s="4">
        <f t="shared" si="10"/>
        <v>604878.381654349</v>
      </c>
      <c r="BY7" s="143">
        <f t="shared" si="48"/>
        <v>499951.96574758383</v>
      </c>
      <c r="BZ7" s="143">
        <f t="shared" si="48"/>
        <v>0</v>
      </c>
      <c r="CA7" s="143">
        <f t="shared" si="48"/>
        <v>104926.4159067652</v>
      </c>
      <c r="CB7" s="4">
        <f t="shared" si="11"/>
        <v>604878.381654349</v>
      </c>
      <c r="CC7" s="4">
        <f t="shared" si="12"/>
        <v>0</v>
      </c>
      <c r="CD7" s="70">
        <f t="shared" si="13"/>
        <v>-185266.05</v>
      </c>
      <c r="CE7" s="72">
        <f t="shared" si="14"/>
        <v>-185266.05</v>
      </c>
      <c r="CF7" s="72">
        <f t="shared" si="15"/>
        <v>0</v>
      </c>
      <c r="CG7" s="72">
        <f t="shared" si="35"/>
        <v>1066581.6675099488</v>
      </c>
      <c r="CH7" s="72">
        <f t="shared" si="16"/>
        <v>16574.681353041502</v>
      </c>
      <c r="CI7" s="35">
        <f t="shared" si="17"/>
        <v>175028.1813530415</v>
      </c>
      <c r="CJ7" s="57" t="str">
        <f t="shared" si="36"/>
        <v>-</v>
      </c>
      <c r="CK7" s="57" t="str">
        <f t="shared" si="37"/>
        <v>-</v>
      </c>
      <c r="CL7" s="148">
        <f t="shared" si="38"/>
        <v>-0.17370076351726893</v>
      </c>
      <c r="CM7" s="148">
        <f t="shared" si="39"/>
        <v>-0.17370076351726893</v>
      </c>
      <c r="CN7" s="148">
        <f t="shared" si="40"/>
        <v>0.015540002100108192</v>
      </c>
      <c r="CO7" s="148">
        <f t="shared" si="41"/>
        <v>0.16410199676660847</v>
      </c>
      <c r="CP7" s="148">
        <f t="shared" si="42"/>
        <v>1</v>
      </c>
      <c r="CQ7" s="148">
        <f t="shared" si="43"/>
        <v>1</v>
      </c>
      <c r="CR7" s="149">
        <f t="shared" si="44"/>
        <v>1.2889200913671703</v>
      </c>
      <c r="CS7" s="72">
        <f t="shared" si="45"/>
        <v>-238793.13409323475</v>
      </c>
      <c r="CT7" s="76">
        <f t="shared" si="18"/>
        <v>1251847.7175099489</v>
      </c>
      <c r="CU7" s="76">
        <f t="shared" si="19"/>
        <v>1066581.6675099488</v>
      </c>
      <c r="CV7" s="76">
        <f t="shared" si="20"/>
        <v>-185266.05000000005</v>
      </c>
      <c r="CW7" s="76">
        <f t="shared" si="21"/>
        <v>0</v>
      </c>
      <c r="CX7" s="76">
        <f t="shared" si="22"/>
        <v>-185266.05000000005</v>
      </c>
      <c r="CY7" s="76">
        <f t="shared" si="23"/>
        <v>-343719.55000000005</v>
      </c>
      <c r="CZ7" s="76">
        <f t="shared" si="24"/>
        <v>0</v>
      </c>
      <c r="DA7" s="76">
        <f t="shared" si="25"/>
        <v>158453.5</v>
      </c>
      <c r="DB7" s="76">
        <f t="shared" si="26"/>
        <v>-185266.05000000005</v>
      </c>
      <c r="DC7" s="76">
        <f t="shared" si="27"/>
        <v>-158453.5</v>
      </c>
      <c r="DD7" s="76">
        <f t="shared" si="28"/>
        <v>-343719.55000000005</v>
      </c>
      <c r="DE7" s="76">
        <f t="shared" si="29"/>
        <v>478567.85</v>
      </c>
      <c r="DF7" s="76">
        <f t="shared" si="30"/>
        <v>-320.5276967694426</v>
      </c>
      <c r="DG7" s="76">
        <f t="shared" si="31"/>
        <v>22.247894433612753</v>
      </c>
      <c r="DH7" s="76">
        <f t="shared" si="32"/>
        <v>642.3729530201342</v>
      </c>
      <c r="DI7" s="77">
        <f t="shared" si="33"/>
        <v>0</v>
      </c>
      <c r="DJ7" s="72">
        <f t="shared" si="34"/>
        <v>-248.6792617449665</v>
      </c>
      <c r="DK7" s="151">
        <f t="shared" si="46"/>
        <v>-238793.13409323478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4">
        <v>644</v>
      </c>
      <c r="C8" s="36">
        <v>1755067</v>
      </c>
      <c r="D8" s="37">
        <v>2725.26</v>
      </c>
      <c r="E8" s="37">
        <v>76.25</v>
      </c>
      <c r="F8" s="124">
        <v>10</v>
      </c>
      <c r="G8" s="130">
        <f>(G49/($B$49)*$B$8)+(G50/($B$50)*$B$8)+(G46)</f>
        <v>898835.2816969476</v>
      </c>
      <c r="H8" s="130">
        <f aca="true" t="shared" si="49" ref="H8:BU8">(H49/($B$49)*$B$8)+(H50/($B$50)*$B$8)+(H46)</f>
        <v>143424.13007676497</v>
      </c>
      <c r="I8" s="130">
        <f t="shared" si="49"/>
        <v>12564.028115030842</v>
      </c>
      <c r="J8" s="130">
        <f t="shared" si="49"/>
        <v>0</v>
      </c>
      <c r="K8" s="130">
        <f t="shared" si="49"/>
        <v>134968.9</v>
      </c>
      <c r="L8" s="130">
        <f t="shared" si="49"/>
        <v>0</v>
      </c>
      <c r="M8" s="41">
        <f t="shared" si="0"/>
        <v>134968.9</v>
      </c>
      <c r="N8" s="130">
        <f t="shared" si="49"/>
        <v>0</v>
      </c>
      <c r="O8" s="130">
        <f t="shared" si="49"/>
        <v>326659.76055226824</v>
      </c>
      <c r="P8" s="130">
        <f t="shared" si="49"/>
        <v>0</v>
      </c>
      <c r="Q8" s="130">
        <f t="shared" si="49"/>
        <v>0</v>
      </c>
      <c r="R8" s="130">
        <f t="shared" si="49"/>
        <v>0</v>
      </c>
      <c r="S8" s="130">
        <f t="shared" si="49"/>
        <v>0</v>
      </c>
      <c r="T8" s="130">
        <f t="shared" si="49"/>
        <v>0</v>
      </c>
      <c r="U8" s="130">
        <f t="shared" si="49"/>
        <v>0</v>
      </c>
      <c r="V8" s="130">
        <f t="shared" si="49"/>
        <v>0</v>
      </c>
      <c r="W8" s="41">
        <f t="shared" si="1"/>
        <v>0</v>
      </c>
      <c r="X8" s="130">
        <f t="shared" si="49"/>
        <v>1914.736170026676</v>
      </c>
      <c r="Y8" s="41">
        <f t="shared" si="2"/>
        <v>1518366.8366110383</v>
      </c>
      <c r="Z8" s="130">
        <f t="shared" si="49"/>
        <v>180780.45</v>
      </c>
      <c r="AA8" s="130">
        <f t="shared" si="49"/>
        <v>49915.7</v>
      </c>
      <c r="AB8" s="130">
        <f t="shared" si="49"/>
        <v>0</v>
      </c>
      <c r="AC8" s="130">
        <f t="shared" si="49"/>
        <v>18638.6</v>
      </c>
      <c r="AD8" s="130">
        <f t="shared" si="49"/>
        <v>0</v>
      </c>
      <c r="AE8" s="41">
        <f t="shared" si="3"/>
        <v>249334.75000000003</v>
      </c>
      <c r="AF8" s="130">
        <f t="shared" si="49"/>
        <v>0</v>
      </c>
      <c r="AG8" s="130">
        <f t="shared" si="49"/>
        <v>172.85</v>
      </c>
      <c r="AH8" s="130">
        <f t="shared" si="49"/>
        <v>0</v>
      </c>
      <c r="AI8" s="130">
        <f t="shared" si="49"/>
        <v>28919</v>
      </c>
      <c r="AJ8" s="130">
        <f t="shared" si="49"/>
        <v>352035.9361456943</v>
      </c>
      <c r="AK8" s="130">
        <f t="shared" si="49"/>
        <v>290686.502655994</v>
      </c>
      <c r="AL8" s="130">
        <f t="shared" si="49"/>
        <v>404341.14070875844</v>
      </c>
      <c r="AM8" s="130">
        <f t="shared" si="49"/>
        <v>0</v>
      </c>
      <c r="AN8" s="130">
        <f t="shared" si="49"/>
        <v>0</v>
      </c>
      <c r="AO8" s="130">
        <f t="shared" si="49"/>
        <v>0</v>
      </c>
      <c r="AP8" s="130">
        <f t="shared" si="49"/>
        <v>0</v>
      </c>
      <c r="AQ8" s="130">
        <f t="shared" si="49"/>
        <v>0</v>
      </c>
      <c r="AR8" s="130">
        <f t="shared" si="49"/>
        <v>0</v>
      </c>
      <c r="AS8" s="4">
        <f t="shared" si="4"/>
        <v>0</v>
      </c>
      <c r="AT8" s="130">
        <f t="shared" si="49"/>
        <v>8154.507100591715</v>
      </c>
      <c r="AU8" s="4">
        <f t="shared" si="5"/>
        <v>1333644.6866110384</v>
      </c>
      <c r="AV8" s="130">
        <f t="shared" si="49"/>
        <v>0</v>
      </c>
      <c r="AW8" s="130">
        <f t="shared" si="49"/>
        <v>184722.15</v>
      </c>
      <c r="AX8" s="4">
        <f t="shared" si="6"/>
        <v>0</v>
      </c>
      <c r="AY8" s="130">
        <f t="shared" si="49"/>
        <v>0</v>
      </c>
      <c r="AZ8" s="130">
        <f t="shared" si="49"/>
        <v>0</v>
      </c>
      <c r="BA8" s="130">
        <f t="shared" si="49"/>
        <v>0</v>
      </c>
      <c r="BB8" s="130">
        <f t="shared" si="49"/>
        <v>0</v>
      </c>
      <c r="BC8" s="130">
        <f t="shared" si="49"/>
        <v>0</v>
      </c>
      <c r="BD8" s="130">
        <f t="shared" si="49"/>
        <v>0</v>
      </c>
      <c r="BE8" s="130">
        <f t="shared" si="49"/>
        <v>0</v>
      </c>
      <c r="BF8" s="41">
        <f t="shared" si="7"/>
        <v>0</v>
      </c>
      <c r="BG8" s="130">
        <f t="shared" si="49"/>
        <v>0</v>
      </c>
      <c r="BH8" s="130">
        <f t="shared" si="49"/>
        <v>0</v>
      </c>
      <c r="BI8" s="130">
        <f t="shared" si="49"/>
        <v>0</v>
      </c>
      <c r="BJ8" s="130">
        <f t="shared" si="49"/>
        <v>0</v>
      </c>
      <c r="BK8" s="130">
        <f t="shared" si="49"/>
        <v>0</v>
      </c>
      <c r="BL8" s="130">
        <f t="shared" si="49"/>
        <v>0</v>
      </c>
      <c r="BM8" s="130">
        <f t="shared" si="49"/>
        <v>0</v>
      </c>
      <c r="BN8" s="130">
        <f t="shared" si="49"/>
        <v>0</v>
      </c>
      <c r="BO8" s="41">
        <f t="shared" si="8"/>
        <v>0</v>
      </c>
      <c r="BP8" s="130">
        <f t="shared" si="49"/>
        <v>0</v>
      </c>
      <c r="BQ8" s="130">
        <f t="shared" si="49"/>
        <v>0</v>
      </c>
      <c r="BR8" s="130">
        <f t="shared" si="49"/>
        <v>0</v>
      </c>
      <c r="BS8" s="41">
        <f t="shared" si="9"/>
        <v>0</v>
      </c>
      <c r="BT8" s="130">
        <f t="shared" si="49"/>
        <v>422799.22001439764</v>
      </c>
      <c r="BU8" s="130">
        <f t="shared" si="49"/>
        <v>143700</v>
      </c>
      <c r="BV8" s="130">
        <f aca="true" t="shared" si="50" ref="BV8:CA8">(BV49/($B$49)*$B$8)+(BV50/($B$50)*$B$8)+(BV46)</f>
        <v>0</v>
      </c>
      <c r="BW8" s="130">
        <f t="shared" si="50"/>
        <v>111558.9</v>
      </c>
      <c r="BX8" s="4">
        <f t="shared" si="10"/>
        <v>678058.1200143977</v>
      </c>
      <c r="BY8" s="130">
        <f t="shared" si="50"/>
        <v>504598.62274019327</v>
      </c>
      <c r="BZ8" s="130">
        <f t="shared" si="50"/>
        <v>171848.16094674554</v>
      </c>
      <c r="CA8" s="130">
        <f t="shared" si="50"/>
        <v>1611.3363274587832</v>
      </c>
      <c r="CB8" s="4">
        <f t="shared" si="11"/>
        <v>678058.1200143975</v>
      </c>
      <c r="CC8" s="4">
        <f t="shared" si="12"/>
        <v>0</v>
      </c>
      <c r="CD8" s="70">
        <f t="shared" si="13"/>
        <v>-49753.25</v>
      </c>
      <c r="CE8" s="72">
        <f t="shared" si="14"/>
        <v>-49753.25</v>
      </c>
      <c r="CF8" s="72">
        <f t="shared" si="15"/>
        <v>0</v>
      </c>
      <c r="CG8" s="72">
        <f t="shared" si="35"/>
        <v>1325490.1795104467</v>
      </c>
      <c r="CH8" s="72">
        <f t="shared" si="16"/>
        <v>12391.178115030842</v>
      </c>
      <c r="CI8" s="35">
        <f t="shared" si="17"/>
        <v>147360.07811503083</v>
      </c>
      <c r="CJ8" s="57" t="str">
        <f t="shared" si="36"/>
        <v>-</v>
      </c>
      <c r="CK8" s="57" t="str">
        <f t="shared" si="37"/>
        <v>-</v>
      </c>
      <c r="CL8" s="148">
        <f t="shared" si="38"/>
        <v>-0.037535736415924066</v>
      </c>
      <c r="CM8" s="148">
        <f t="shared" si="39"/>
        <v>-0.037535736415924066</v>
      </c>
      <c r="CN8" s="148">
        <f t="shared" si="40"/>
        <v>0.009348374138545008</v>
      </c>
      <c r="CO8" s="148">
        <f t="shared" si="41"/>
        <v>0.11117402481960027</v>
      </c>
      <c r="CP8" s="148">
        <f t="shared" si="42"/>
        <v>0.48433427626836</v>
      </c>
      <c r="CQ8" s="148">
        <f t="shared" si="43"/>
        <v>0.48433427626836</v>
      </c>
      <c r="CR8" s="149">
        <f t="shared" si="44"/>
        <v>1.6441016963875854</v>
      </c>
      <c r="CS8" s="72">
        <f t="shared" si="45"/>
        <v>-81799.40272579563</v>
      </c>
      <c r="CT8" s="76">
        <f t="shared" si="18"/>
        <v>1383397.9366110384</v>
      </c>
      <c r="CU8" s="76">
        <f t="shared" si="19"/>
        <v>1333644.6866110384</v>
      </c>
      <c r="CV8" s="76">
        <f t="shared" si="20"/>
        <v>-49753.25</v>
      </c>
      <c r="CW8" s="76">
        <f t="shared" si="21"/>
        <v>0</v>
      </c>
      <c r="CX8" s="76">
        <f t="shared" si="22"/>
        <v>-49753.25</v>
      </c>
      <c r="CY8" s="76">
        <f t="shared" si="23"/>
        <v>-184722.15</v>
      </c>
      <c r="CZ8" s="76">
        <f t="shared" si="24"/>
        <v>0</v>
      </c>
      <c r="DA8" s="76">
        <f t="shared" si="25"/>
        <v>134968.9</v>
      </c>
      <c r="DB8" s="76">
        <f t="shared" si="26"/>
        <v>-49753.25</v>
      </c>
      <c r="DC8" s="76">
        <f t="shared" si="27"/>
        <v>-134968.9</v>
      </c>
      <c r="DD8" s="76">
        <f t="shared" si="28"/>
        <v>-184722.15</v>
      </c>
      <c r="DE8" s="76">
        <f t="shared" si="29"/>
        <v>230696.15000000002</v>
      </c>
      <c r="DF8" s="76">
        <f t="shared" si="30"/>
        <v>-127.01770609595596</v>
      </c>
      <c r="DG8" s="76">
        <f t="shared" si="31"/>
        <v>19.240959805948513</v>
      </c>
      <c r="DH8" s="76">
        <f t="shared" si="32"/>
        <v>358.22383540372675</v>
      </c>
      <c r="DI8" s="77">
        <f t="shared" si="33"/>
        <v>0</v>
      </c>
      <c r="DJ8" s="72">
        <f t="shared" si="34"/>
        <v>-77.25659937888199</v>
      </c>
      <c r="DK8" s="151">
        <f t="shared" si="46"/>
        <v>-253647.5636725412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39">
        <v>2717</v>
      </c>
      <c r="C9" s="4">
        <v>10661220</v>
      </c>
      <c r="D9" s="32">
        <v>3923.89</v>
      </c>
      <c r="E9" s="32">
        <v>109.79</v>
      </c>
      <c r="F9" s="8">
        <v>10</v>
      </c>
      <c r="G9" s="129">
        <v>1871602.95</v>
      </c>
      <c r="H9" s="41">
        <v>275919.45</v>
      </c>
      <c r="I9" s="41">
        <v>8081.4</v>
      </c>
      <c r="J9" s="41">
        <v>0</v>
      </c>
      <c r="K9" s="41">
        <v>100000</v>
      </c>
      <c r="L9" s="41">
        <v>0</v>
      </c>
      <c r="M9" s="41">
        <f t="shared" si="0"/>
        <v>100000</v>
      </c>
      <c r="N9" s="41">
        <v>0</v>
      </c>
      <c r="O9" s="41">
        <v>784662.75</v>
      </c>
      <c r="P9" s="41">
        <v>0</v>
      </c>
      <c r="Q9" s="41">
        <v>0</v>
      </c>
      <c r="R9" s="41">
        <v>0</v>
      </c>
      <c r="S9" s="41">
        <v>0</v>
      </c>
      <c r="T9" s="41">
        <v>100000</v>
      </c>
      <c r="U9" s="41">
        <v>0</v>
      </c>
      <c r="V9" s="41">
        <v>0</v>
      </c>
      <c r="W9" s="41">
        <f t="shared" si="1"/>
        <v>100000</v>
      </c>
      <c r="X9" s="41">
        <v>0</v>
      </c>
      <c r="Y9" s="41">
        <f t="shared" si="2"/>
        <v>3140266.55</v>
      </c>
      <c r="Z9" s="41">
        <v>1344400.25</v>
      </c>
      <c r="AA9" s="41">
        <v>0</v>
      </c>
      <c r="AB9" s="41">
        <v>0</v>
      </c>
      <c r="AC9" s="41">
        <v>78635.2</v>
      </c>
      <c r="AD9" s="41">
        <v>0</v>
      </c>
      <c r="AE9" s="41">
        <f t="shared" si="3"/>
        <v>1423035.45</v>
      </c>
      <c r="AF9" s="41">
        <v>0</v>
      </c>
      <c r="AG9" s="41">
        <v>15739.6</v>
      </c>
      <c r="AH9" s="41">
        <v>0</v>
      </c>
      <c r="AI9" s="41">
        <v>632208.6</v>
      </c>
      <c r="AJ9" s="41">
        <v>845184.1</v>
      </c>
      <c r="AK9" s="41">
        <v>3494.5</v>
      </c>
      <c r="AL9" s="41">
        <v>190446.9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3110109.1500000004</v>
      </c>
      <c r="AV9" s="4">
        <v>0</v>
      </c>
      <c r="AW9" s="4">
        <v>30157.4</v>
      </c>
      <c r="AX9" s="153">
        <f t="shared" si="6"/>
        <v>-5.602487362921238E-10</v>
      </c>
      <c r="AY9" s="41">
        <v>0</v>
      </c>
      <c r="AZ9" s="41">
        <v>40000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40000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f t="shared" si="8"/>
        <v>0</v>
      </c>
      <c r="BP9" s="41">
        <v>0</v>
      </c>
      <c r="BQ9" s="41">
        <v>0</v>
      </c>
      <c r="BR9" s="41">
        <v>40000</v>
      </c>
      <c r="BS9" s="41">
        <f t="shared" si="9"/>
        <v>0</v>
      </c>
      <c r="BT9" s="4">
        <v>784926.35</v>
      </c>
      <c r="BU9" s="4">
        <v>810004</v>
      </c>
      <c r="BV9" s="4">
        <v>0</v>
      </c>
      <c r="BW9" s="4">
        <v>0</v>
      </c>
      <c r="BX9" s="4">
        <f t="shared" si="10"/>
        <v>1594930.35</v>
      </c>
      <c r="BY9" s="4">
        <v>537879.5</v>
      </c>
      <c r="BZ9" s="4">
        <v>710191</v>
      </c>
      <c r="CA9" s="4">
        <v>346859.85</v>
      </c>
      <c r="CB9" s="4">
        <f t="shared" si="11"/>
        <v>1594930.35</v>
      </c>
      <c r="CC9" s="153">
        <f t="shared" si="12"/>
        <v>0</v>
      </c>
      <c r="CD9" s="70">
        <f t="shared" si="13"/>
        <v>69842.6</v>
      </c>
      <c r="CE9" s="72">
        <f t="shared" si="14"/>
        <v>169842.6</v>
      </c>
      <c r="CF9" s="72">
        <f t="shared" si="15"/>
        <v>40000</v>
      </c>
      <c r="CG9" s="72">
        <f t="shared" si="35"/>
        <v>3110109.1500000004</v>
      </c>
      <c r="CH9" s="72">
        <f t="shared" si="16"/>
        <v>-7658.200000000001</v>
      </c>
      <c r="CI9" s="35">
        <f t="shared" si="17"/>
        <v>92341.8</v>
      </c>
      <c r="CJ9" s="57">
        <f t="shared" si="36"/>
        <v>1.7460650000000002</v>
      </c>
      <c r="CK9" s="57">
        <f t="shared" si="37"/>
        <v>4.246065</v>
      </c>
      <c r="CL9" s="148">
        <f t="shared" si="38"/>
        <v>0.022456639504115153</v>
      </c>
      <c r="CM9" s="148">
        <f t="shared" si="39"/>
        <v>0.054609851876098944</v>
      </c>
      <c r="CN9" s="148">
        <f t="shared" si="40"/>
        <v>-0.002462357309871263</v>
      </c>
      <c r="CO9" s="148">
        <f t="shared" si="41"/>
        <v>0.02969085506211253</v>
      </c>
      <c r="CP9" s="148">
        <f t="shared" si="42"/>
        <v>0.10988962685878303</v>
      </c>
      <c r="CQ9" s="148">
        <f t="shared" si="43"/>
        <v>0.10988962685878303</v>
      </c>
      <c r="CR9" s="149">
        <f t="shared" si="44"/>
        <v>1.4545635193997264</v>
      </c>
      <c r="CS9" s="72">
        <f t="shared" si="45"/>
        <v>247046.84999999998</v>
      </c>
      <c r="CT9" s="76">
        <f t="shared" si="18"/>
        <v>3040266.55</v>
      </c>
      <c r="CU9" s="76">
        <f t="shared" si="19"/>
        <v>3110109.1500000004</v>
      </c>
      <c r="CV9" s="76">
        <f t="shared" si="20"/>
        <v>69842.60000000056</v>
      </c>
      <c r="CW9" s="76">
        <f t="shared" si="21"/>
        <v>0</v>
      </c>
      <c r="CX9" s="76">
        <f t="shared" si="22"/>
        <v>69842.60000000056</v>
      </c>
      <c r="CY9" s="76">
        <f t="shared" si="23"/>
        <v>-30157.39999999944</v>
      </c>
      <c r="CZ9" s="76">
        <f t="shared" si="24"/>
        <v>40000</v>
      </c>
      <c r="DA9" s="76">
        <f t="shared" si="25"/>
        <v>100000</v>
      </c>
      <c r="DB9" s="76">
        <f t="shared" si="26"/>
        <v>29842.60000000056</v>
      </c>
      <c r="DC9" s="76">
        <f t="shared" si="27"/>
        <v>-100000</v>
      </c>
      <c r="DD9" s="76">
        <f t="shared" si="28"/>
        <v>-30157.39999999944</v>
      </c>
      <c r="DE9" s="76">
        <f t="shared" si="29"/>
        <v>1344400.25</v>
      </c>
      <c r="DF9" s="76">
        <f t="shared" si="30"/>
        <v>90.92633419212366</v>
      </c>
      <c r="DG9" s="76">
        <f t="shared" si="31"/>
        <v>-2.8186234817813767</v>
      </c>
      <c r="DH9" s="76">
        <f t="shared" si="32"/>
        <v>494.8105447184395</v>
      </c>
      <c r="DI9" s="77">
        <f t="shared" si="33"/>
        <v>14.72211998527788</v>
      </c>
      <c r="DJ9" s="72">
        <f t="shared" si="34"/>
        <v>10.983658446816547</v>
      </c>
      <c r="DK9" s="151">
        <f t="shared" si="46"/>
        <v>-463144.15</v>
      </c>
      <c r="DL9" s="72">
        <v>64</v>
      </c>
      <c r="DM9" s="72">
        <v>184</v>
      </c>
      <c r="DN9" s="63">
        <v>0</v>
      </c>
    </row>
    <row r="10" spans="1:118" ht="12.75">
      <c r="A10" s="49" t="s">
        <v>5</v>
      </c>
      <c r="B10" s="44">
        <v>532</v>
      </c>
      <c r="C10" s="36">
        <v>1489699</v>
      </c>
      <c r="D10" s="37">
        <v>2800.19</v>
      </c>
      <c r="E10" s="37">
        <v>78.35</v>
      </c>
      <c r="F10" s="124">
        <v>10</v>
      </c>
      <c r="G10" s="130">
        <v>436721.4</v>
      </c>
      <c r="H10" s="40">
        <v>44913.55</v>
      </c>
      <c r="I10" s="40">
        <v>31167.3</v>
      </c>
      <c r="J10" s="40">
        <v>0</v>
      </c>
      <c r="K10" s="40">
        <v>58108.65</v>
      </c>
      <c r="L10" s="40">
        <v>0</v>
      </c>
      <c r="M10" s="41">
        <f t="shared" si="0"/>
        <v>58108.65</v>
      </c>
      <c r="N10" s="40">
        <v>0</v>
      </c>
      <c r="O10" s="40">
        <v>202363.2</v>
      </c>
      <c r="P10" s="40">
        <v>7227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780501.1</v>
      </c>
      <c r="Z10" s="40">
        <v>163598.95</v>
      </c>
      <c r="AA10" s="40">
        <v>12437</v>
      </c>
      <c r="AB10" s="40">
        <v>0</v>
      </c>
      <c r="AC10" s="40">
        <v>15397.1</v>
      </c>
      <c r="AD10" s="40">
        <v>0</v>
      </c>
      <c r="AE10" s="41">
        <f t="shared" si="3"/>
        <v>191433.05000000002</v>
      </c>
      <c r="AF10" s="40">
        <v>0</v>
      </c>
      <c r="AG10" s="40">
        <v>92.75</v>
      </c>
      <c r="AH10" s="40">
        <v>0</v>
      </c>
      <c r="AI10" s="40">
        <v>1343.5</v>
      </c>
      <c r="AJ10" s="40">
        <v>232273.1</v>
      </c>
      <c r="AK10" s="40">
        <v>0</v>
      </c>
      <c r="AL10" s="40">
        <v>197088.75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622231.15</v>
      </c>
      <c r="AV10" s="36">
        <v>0</v>
      </c>
      <c r="AW10" s="36">
        <v>158269.95</v>
      </c>
      <c r="AX10" s="153">
        <f t="shared" si="6"/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143479.85</v>
      </c>
      <c r="BU10" s="36">
        <v>800845.9</v>
      </c>
      <c r="BV10" s="36">
        <v>0</v>
      </c>
      <c r="BW10" s="36">
        <v>158269.95</v>
      </c>
      <c r="BX10" s="4">
        <f t="shared" si="10"/>
        <v>1102595.7</v>
      </c>
      <c r="BY10" s="36">
        <v>1102595.7</v>
      </c>
      <c r="BZ10" s="36">
        <v>0</v>
      </c>
      <c r="CA10" s="36">
        <v>0</v>
      </c>
      <c r="CB10" s="4">
        <f t="shared" si="11"/>
        <v>1102595.7</v>
      </c>
      <c r="CC10" s="153">
        <f t="shared" si="12"/>
        <v>0</v>
      </c>
      <c r="CD10" s="70">
        <f t="shared" si="13"/>
        <v>-100161.30000000002</v>
      </c>
      <c r="CE10" s="72">
        <f t="shared" si="14"/>
        <v>-100161.30000000002</v>
      </c>
      <c r="CF10" s="72">
        <f t="shared" si="15"/>
        <v>0</v>
      </c>
      <c r="CG10" s="72">
        <f t="shared" si="35"/>
        <v>622231.15</v>
      </c>
      <c r="CH10" s="72">
        <f t="shared" si="16"/>
        <v>31074.55</v>
      </c>
      <c r="CI10" s="35">
        <f t="shared" si="17"/>
        <v>89183.2</v>
      </c>
      <c r="CJ10" s="57" t="str">
        <f t="shared" si="36"/>
        <v>-</v>
      </c>
      <c r="CK10" s="57" t="str">
        <f t="shared" si="37"/>
        <v>-</v>
      </c>
      <c r="CL10" s="148">
        <f t="shared" si="38"/>
        <v>-0.16097120820775368</v>
      </c>
      <c r="CM10" s="148">
        <f t="shared" si="39"/>
        <v>-0.16097120820775368</v>
      </c>
      <c r="CN10" s="148">
        <f t="shared" si="40"/>
        <v>0.0499405245140813</v>
      </c>
      <c r="CO10" s="148">
        <f t="shared" si="41"/>
        <v>0.14332808635504665</v>
      </c>
      <c r="CP10" s="148">
        <f t="shared" si="42"/>
        <v>0.06765043621923884</v>
      </c>
      <c r="CQ10" s="148">
        <f t="shared" si="43"/>
        <v>0.06765043621923884</v>
      </c>
      <c r="CR10" s="149">
        <f t="shared" si="44"/>
        <v>9.57571287513241</v>
      </c>
      <c r="CS10" s="72">
        <f t="shared" si="45"/>
        <v>-959115.85</v>
      </c>
      <c r="CT10" s="76">
        <f t="shared" si="18"/>
        <v>722392.45</v>
      </c>
      <c r="CU10" s="76">
        <f t="shared" si="19"/>
        <v>622231.15</v>
      </c>
      <c r="CV10" s="76">
        <f t="shared" si="20"/>
        <v>-100161.29999999993</v>
      </c>
      <c r="CW10" s="76">
        <f t="shared" si="21"/>
        <v>0</v>
      </c>
      <c r="CX10" s="76">
        <f t="shared" si="22"/>
        <v>-100161.29999999993</v>
      </c>
      <c r="CY10" s="76">
        <f t="shared" si="23"/>
        <v>-158269.94999999992</v>
      </c>
      <c r="CZ10" s="76">
        <f t="shared" si="24"/>
        <v>0</v>
      </c>
      <c r="DA10" s="76">
        <f t="shared" si="25"/>
        <v>58108.65</v>
      </c>
      <c r="DB10" s="76">
        <f t="shared" si="26"/>
        <v>-100161.29999999993</v>
      </c>
      <c r="DC10" s="76">
        <f t="shared" si="27"/>
        <v>-58108.65</v>
      </c>
      <c r="DD10" s="76">
        <f t="shared" si="28"/>
        <v>-158269.94999999992</v>
      </c>
      <c r="DE10" s="76">
        <f t="shared" si="29"/>
        <v>176035.95</v>
      </c>
      <c r="DF10" s="76">
        <f t="shared" si="30"/>
        <v>-1802.849342105263</v>
      </c>
      <c r="DG10" s="76">
        <f t="shared" si="31"/>
        <v>58.41080827067669</v>
      </c>
      <c r="DH10" s="76">
        <f t="shared" si="32"/>
        <v>330.89464285714286</v>
      </c>
      <c r="DI10" s="77">
        <f t="shared" si="33"/>
        <v>0</v>
      </c>
      <c r="DJ10" s="72">
        <f t="shared" si="34"/>
        <v>-188.27312030075174</v>
      </c>
      <c r="DK10" s="151">
        <f t="shared" si="46"/>
        <v>-959115.8500000001</v>
      </c>
      <c r="DL10" s="136">
        <v>8</v>
      </c>
      <c r="DM10" s="136">
        <v>37</v>
      </c>
      <c r="DN10" s="65">
        <v>0</v>
      </c>
    </row>
    <row r="11" spans="1:118" ht="12.75">
      <c r="A11" s="50" t="s">
        <v>6</v>
      </c>
      <c r="B11" s="39">
        <v>5645</v>
      </c>
      <c r="C11" s="4">
        <v>23826845</v>
      </c>
      <c r="D11" s="32">
        <v>4220.88</v>
      </c>
      <c r="E11" s="32">
        <v>118.1</v>
      </c>
      <c r="F11" s="8">
        <v>14</v>
      </c>
      <c r="G11" s="129">
        <f>(G42/($B$11+$B$27)*$B$11)</f>
        <v>4404241.882593829</v>
      </c>
      <c r="H11" s="129">
        <f aca="true" t="shared" si="51" ref="H11:AD11">(H42/($B$11+$B$27)*$B$11)</f>
        <v>823280.5623807252</v>
      </c>
      <c r="I11" s="129">
        <f t="shared" si="51"/>
        <v>231270.74833015268</v>
      </c>
      <c r="J11" s="129">
        <f t="shared" si="51"/>
        <v>0</v>
      </c>
      <c r="K11" s="129">
        <f t="shared" si="51"/>
        <v>625885.8738072519</v>
      </c>
      <c r="L11" s="129">
        <f t="shared" si="51"/>
        <v>387048.4644163486</v>
      </c>
      <c r="M11" s="41">
        <f t="shared" si="0"/>
        <v>1012934.3382236005</v>
      </c>
      <c r="N11" s="129">
        <f t="shared" si="51"/>
        <v>0</v>
      </c>
      <c r="O11" s="129">
        <f t="shared" si="51"/>
        <v>1511902.5135575698</v>
      </c>
      <c r="P11" s="129">
        <f t="shared" si="51"/>
        <v>0</v>
      </c>
      <c r="Q11" s="129">
        <f t="shared" si="51"/>
        <v>0</v>
      </c>
      <c r="R11" s="129">
        <f t="shared" si="51"/>
        <v>0</v>
      </c>
      <c r="S11" s="129">
        <f t="shared" si="51"/>
        <v>0</v>
      </c>
      <c r="T11" s="129">
        <f t="shared" si="51"/>
        <v>0</v>
      </c>
      <c r="U11" s="129">
        <f t="shared" si="51"/>
        <v>0</v>
      </c>
      <c r="V11" s="129">
        <f t="shared" si="51"/>
        <v>0</v>
      </c>
      <c r="W11" s="41">
        <f t="shared" si="1"/>
        <v>0</v>
      </c>
      <c r="X11" s="129">
        <f t="shared" si="51"/>
        <v>0</v>
      </c>
      <c r="Y11" s="41">
        <f t="shared" si="2"/>
        <v>7983630.045085877</v>
      </c>
      <c r="Z11" s="129">
        <f t="shared" si="51"/>
        <v>3294706.269918893</v>
      </c>
      <c r="AA11" s="129">
        <f t="shared" si="51"/>
        <v>315454.1000715649</v>
      </c>
      <c r="AB11" s="129">
        <f t="shared" si="51"/>
        <v>0</v>
      </c>
      <c r="AC11" s="129">
        <f t="shared" si="51"/>
        <v>163377.09983301527</v>
      </c>
      <c r="AD11" s="129">
        <f t="shared" si="51"/>
        <v>0</v>
      </c>
      <c r="AE11" s="41">
        <f t="shared" si="3"/>
        <v>3773537.469823473</v>
      </c>
      <c r="AF11" s="129">
        <f>(AF42/($B$11+$B$27)*$B$11)</f>
        <v>0</v>
      </c>
      <c r="AG11" s="129">
        <f aca="true" t="shared" si="52" ref="AG11:CA11">(AG42/($B$11+$B$27)*$B$11)</f>
        <v>471386.9908158396</v>
      </c>
      <c r="AH11" s="129">
        <f t="shared" si="52"/>
        <v>0</v>
      </c>
      <c r="AI11" s="129">
        <f t="shared" si="52"/>
        <v>171163.3934080789</v>
      </c>
      <c r="AJ11" s="129">
        <f t="shared" si="52"/>
        <v>1662710.1967636768</v>
      </c>
      <c r="AK11" s="129">
        <f t="shared" si="52"/>
        <v>58449.67481711196</v>
      </c>
      <c r="AL11" s="129">
        <f t="shared" si="52"/>
        <v>1763043.8324586514</v>
      </c>
      <c r="AM11" s="129">
        <f t="shared" si="52"/>
        <v>0</v>
      </c>
      <c r="AN11" s="129">
        <f t="shared" si="52"/>
        <v>0</v>
      </c>
      <c r="AO11" s="129">
        <f t="shared" si="52"/>
        <v>0</v>
      </c>
      <c r="AP11" s="129">
        <f t="shared" si="52"/>
        <v>0</v>
      </c>
      <c r="AQ11" s="129">
        <f t="shared" si="52"/>
        <v>0</v>
      </c>
      <c r="AR11" s="129">
        <f t="shared" si="52"/>
        <v>0</v>
      </c>
      <c r="AS11" s="4">
        <f t="shared" si="4"/>
        <v>0</v>
      </c>
      <c r="AT11" s="129">
        <f t="shared" si="52"/>
        <v>77435.6106870229</v>
      </c>
      <c r="AU11" s="4">
        <f t="shared" si="5"/>
        <v>7977727.168773853</v>
      </c>
      <c r="AV11" s="129">
        <f t="shared" si="52"/>
        <v>0</v>
      </c>
      <c r="AW11" s="129">
        <f t="shared" si="52"/>
        <v>5902.876312022901</v>
      </c>
      <c r="AX11" s="4">
        <f t="shared" si="6"/>
        <v>1.0586518328636885E-09</v>
      </c>
      <c r="AY11" s="129">
        <f t="shared" si="52"/>
        <v>14399.597805343512</v>
      </c>
      <c r="AZ11" s="129">
        <f t="shared" si="52"/>
        <v>0</v>
      </c>
      <c r="BA11" s="129">
        <f t="shared" si="52"/>
        <v>0</v>
      </c>
      <c r="BB11" s="129">
        <f t="shared" si="52"/>
        <v>0</v>
      </c>
      <c r="BC11" s="129">
        <f t="shared" si="52"/>
        <v>0</v>
      </c>
      <c r="BD11" s="129">
        <f t="shared" si="52"/>
        <v>0</v>
      </c>
      <c r="BE11" s="129">
        <f t="shared" si="52"/>
        <v>0</v>
      </c>
      <c r="BF11" s="41">
        <f t="shared" si="7"/>
        <v>0</v>
      </c>
      <c r="BG11" s="129">
        <f t="shared" si="52"/>
        <v>0</v>
      </c>
      <c r="BH11" s="129">
        <f t="shared" si="52"/>
        <v>0</v>
      </c>
      <c r="BI11" s="129">
        <f t="shared" si="52"/>
        <v>0</v>
      </c>
      <c r="BJ11" s="129">
        <f t="shared" si="52"/>
        <v>0</v>
      </c>
      <c r="BK11" s="129">
        <f t="shared" si="52"/>
        <v>0</v>
      </c>
      <c r="BL11" s="129">
        <f t="shared" si="52"/>
        <v>0</v>
      </c>
      <c r="BM11" s="129">
        <f t="shared" si="52"/>
        <v>0</v>
      </c>
      <c r="BN11" s="129">
        <f t="shared" si="52"/>
        <v>0</v>
      </c>
      <c r="BO11" s="41">
        <f t="shared" si="8"/>
        <v>0</v>
      </c>
      <c r="BP11" s="129">
        <f t="shared" si="52"/>
        <v>0</v>
      </c>
      <c r="BQ11" s="129">
        <f t="shared" si="52"/>
        <v>0</v>
      </c>
      <c r="BR11" s="129">
        <f t="shared" si="52"/>
        <v>0</v>
      </c>
      <c r="BS11" s="41">
        <f t="shared" si="9"/>
        <v>0</v>
      </c>
      <c r="BT11" s="129">
        <f t="shared" si="52"/>
        <v>3692488.0446882956</v>
      </c>
      <c r="BU11" s="129">
        <f t="shared" si="52"/>
        <v>5833079.585718829</v>
      </c>
      <c r="BV11" s="129">
        <f t="shared" si="52"/>
        <v>0</v>
      </c>
      <c r="BW11" s="129">
        <f t="shared" si="52"/>
        <v>0</v>
      </c>
      <c r="BX11" s="4">
        <f t="shared" si="10"/>
        <v>9525567.630407125</v>
      </c>
      <c r="BY11" s="129">
        <f t="shared" si="52"/>
        <v>9103211.701932253</v>
      </c>
      <c r="BZ11" s="129">
        <f t="shared" si="52"/>
        <v>0</v>
      </c>
      <c r="CA11" s="129">
        <f t="shared" si="52"/>
        <v>422355.9284748727</v>
      </c>
      <c r="CB11" s="4">
        <f t="shared" si="11"/>
        <v>9525567.630407127</v>
      </c>
      <c r="CC11" s="4">
        <f t="shared" si="12"/>
        <v>0</v>
      </c>
      <c r="CD11" s="70">
        <f t="shared" si="13"/>
        <v>1007031.4619115776</v>
      </c>
      <c r="CE11" s="72">
        <f t="shared" si="14"/>
        <v>1007031.4619115776</v>
      </c>
      <c r="CF11" s="72">
        <f t="shared" si="15"/>
        <v>0</v>
      </c>
      <c r="CG11" s="72">
        <f t="shared" si="35"/>
        <v>7900291.55808683</v>
      </c>
      <c r="CH11" s="72">
        <f t="shared" si="16"/>
        <v>-225716.64468034342</v>
      </c>
      <c r="CI11" s="35">
        <f t="shared" si="17"/>
        <v>400169.22912690847</v>
      </c>
      <c r="CJ11" s="57" t="str">
        <f t="shared" si="36"/>
        <v>-</v>
      </c>
      <c r="CK11" s="57" t="str">
        <f t="shared" si="37"/>
        <v>-</v>
      </c>
      <c r="CL11" s="148">
        <f t="shared" si="38"/>
        <v>0.12746763261930105</v>
      </c>
      <c r="CM11" s="148">
        <f t="shared" si="39"/>
        <v>0.12746763261930105</v>
      </c>
      <c r="CN11" s="148">
        <f t="shared" si="40"/>
        <v>-0.028570672742994813</v>
      </c>
      <c r="CO11" s="148">
        <f t="shared" si="41"/>
        <v>0.050652463416655885</v>
      </c>
      <c r="CP11" s="148">
        <f t="shared" si="42"/>
        <v>0.14795972510092117</v>
      </c>
      <c r="CQ11" s="148">
        <f t="shared" si="43"/>
        <v>0.09142340064754377</v>
      </c>
      <c r="CR11" s="149">
        <f t="shared" si="44"/>
        <v>-5.3729440061119424</v>
      </c>
      <c r="CS11" s="72">
        <f t="shared" si="45"/>
        <v>-5410723.657243958</v>
      </c>
      <c r="CT11" s="76">
        <f t="shared" si="18"/>
        <v>6970695.706862277</v>
      </c>
      <c r="CU11" s="76">
        <f t="shared" si="19"/>
        <v>7977727.168773853</v>
      </c>
      <c r="CV11" s="76">
        <f t="shared" si="20"/>
        <v>1007031.4619115759</v>
      </c>
      <c r="CW11" s="76">
        <f t="shared" si="21"/>
        <v>0</v>
      </c>
      <c r="CX11" s="76">
        <f t="shared" si="22"/>
        <v>1007031.4619115759</v>
      </c>
      <c r="CY11" s="76">
        <f t="shared" si="23"/>
        <v>-5902.876312024659</v>
      </c>
      <c r="CZ11" s="76">
        <f t="shared" si="24"/>
        <v>0</v>
      </c>
      <c r="DA11" s="76">
        <f t="shared" si="25"/>
        <v>1012934.3382236005</v>
      </c>
      <c r="DB11" s="76">
        <f t="shared" si="26"/>
        <v>1007031.4619115759</v>
      </c>
      <c r="DC11" s="76">
        <f t="shared" si="27"/>
        <v>-1012934.3382236005</v>
      </c>
      <c r="DD11" s="76">
        <f t="shared" si="28"/>
        <v>-5902.876312024659</v>
      </c>
      <c r="DE11" s="76">
        <f t="shared" si="29"/>
        <v>3610160.369990458</v>
      </c>
      <c r="DF11" s="76">
        <f t="shared" si="30"/>
        <v>-958.4984335241732</v>
      </c>
      <c r="DG11" s="76">
        <f t="shared" si="31"/>
        <v>-39.98523377862594</v>
      </c>
      <c r="DH11" s="76">
        <f t="shared" si="32"/>
        <v>639.5323950381679</v>
      </c>
      <c r="DI11" s="77">
        <f t="shared" si="33"/>
        <v>0</v>
      </c>
      <c r="DJ11" s="72">
        <f t="shared" si="34"/>
        <v>178.39352735368925</v>
      </c>
      <c r="DK11" s="151">
        <f t="shared" si="46"/>
        <v>-5410723.657243957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4">
        <v>627</v>
      </c>
      <c r="C12" s="36">
        <v>1753323</v>
      </c>
      <c r="D12" s="37">
        <v>2796.37</v>
      </c>
      <c r="E12" s="37">
        <v>78.24</v>
      </c>
      <c r="F12" s="124">
        <v>11</v>
      </c>
      <c r="G12" s="130">
        <f>(G43/($B$12+$B$14+$B$23)*$B$12)</f>
        <v>632415.1462927756</v>
      </c>
      <c r="H12" s="130">
        <f aca="true" t="shared" si="53" ref="H12:BU12">(H43/($B$12+$B$14+$B$23)*$B$12)</f>
        <v>102847.8172528517</v>
      </c>
      <c r="I12" s="130">
        <f t="shared" si="53"/>
        <v>21148.52523764259</v>
      </c>
      <c r="J12" s="130">
        <f t="shared" si="53"/>
        <v>0</v>
      </c>
      <c r="K12" s="130">
        <f t="shared" si="53"/>
        <v>72371.475</v>
      </c>
      <c r="L12" s="130">
        <f t="shared" si="53"/>
        <v>0</v>
      </c>
      <c r="M12" s="41">
        <f t="shared" si="0"/>
        <v>72371.475</v>
      </c>
      <c r="N12" s="130">
        <f t="shared" si="53"/>
        <v>0</v>
      </c>
      <c r="O12" s="130">
        <f t="shared" si="53"/>
        <v>172819.13982889734</v>
      </c>
      <c r="P12" s="130">
        <f t="shared" si="53"/>
        <v>0</v>
      </c>
      <c r="Q12" s="130">
        <f t="shared" si="53"/>
        <v>0</v>
      </c>
      <c r="R12" s="130">
        <f t="shared" si="53"/>
        <v>0</v>
      </c>
      <c r="S12" s="130">
        <f t="shared" si="53"/>
        <v>0</v>
      </c>
      <c r="T12" s="130">
        <f t="shared" si="53"/>
        <v>0</v>
      </c>
      <c r="U12" s="130">
        <f t="shared" si="53"/>
        <v>0</v>
      </c>
      <c r="V12" s="130">
        <f t="shared" si="53"/>
        <v>0</v>
      </c>
      <c r="W12" s="41">
        <f t="shared" si="1"/>
        <v>0</v>
      </c>
      <c r="X12" s="130">
        <f t="shared" si="53"/>
        <v>894.0114068441065</v>
      </c>
      <c r="Y12" s="41">
        <f t="shared" si="2"/>
        <v>1002496.1150190112</v>
      </c>
      <c r="Z12" s="130">
        <f t="shared" si="53"/>
        <v>287454.70608365024</v>
      </c>
      <c r="AA12" s="130">
        <f t="shared" si="53"/>
        <v>46780.04087452472</v>
      </c>
      <c r="AB12" s="130">
        <f t="shared" si="53"/>
        <v>0</v>
      </c>
      <c r="AC12" s="130">
        <f t="shared" si="53"/>
        <v>18146.613735741445</v>
      </c>
      <c r="AD12" s="130">
        <f t="shared" si="53"/>
        <v>0</v>
      </c>
      <c r="AE12" s="41">
        <f t="shared" si="3"/>
        <v>352381.36069391645</v>
      </c>
      <c r="AF12" s="130">
        <f t="shared" si="53"/>
        <v>0</v>
      </c>
      <c r="AG12" s="130">
        <f t="shared" si="53"/>
        <v>665.4424904942965</v>
      </c>
      <c r="AH12" s="130">
        <f t="shared" si="53"/>
        <v>0</v>
      </c>
      <c r="AI12" s="130">
        <f t="shared" si="53"/>
        <v>0</v>
      </c>
      <c r="AJ12" s="130">
        <f t="shared" si="53"/>
        <v>196339.68593155892</v>
      </c>
      <c r="AK12" s="130">
        <f t="shared" si="53"/>
        <v>0</v>
      </c>
      <c r="AL12" s="130">
        <f t="shared" si="53"/>
        <v>284936.3355513308</v>
      </c>
      <c r="AM12" s="130">
        <f t="shared" si="53"/>
        <v>0</v>
      </c>
      <c r="AN12" s="130">
        <f t="shared" si="53"/>
        <v>0</v>
      </c>
      <c r="AO12" s="130">
        <f t="shared" si="53"/>
        <v>0</v>
      </c>
      <c r="AP12" s="130">
        <f t="shared" si="53"/>
        <v>0</v>
      </c>
      <c r="AQ12" s="130">
        <f t="shared" si="53"/>
        <v>0</v>
      </c>
      <c r="AR12" s="130">
        <f t="shared" si="53"/>
        <v>0</v>
      </c>
      <c r="AS12" s="4">
        <f t="shared" si="4"/>
        <v>0</v>
      </c>
      <c r="AT12" s="130">
        <f t="shared" si="53"/>
        <v>894.0114068441065</v>
      </c>
      <c r="AU12" s="4">
        <f>SUM(Z12:AT12)-AE12-AH12-AS12</f>
        <v>835216.8360741446</v>
      </c>
      <c r="AV12" s="130">
        <f t="shared" si="53"/>
        <v>0</v>
      </c>
      <c r="AW12" s="130">
        <f t="shared" si="53"/>
        <v>167279.2789448669</v>
      </c>
      <c r="AX12" s="4">
        <f t="shared" si="6"/>
        <v>-2.9103830456733704E-10</v>
      </c>
      <c r="AY12" s="130">
        <f t="shared" si="53"/>
        <v>0</v>
      </c>
      <c r="AZ12" s="130">
        <f t="shared" si="53"/>
        <v>459181.27457224333</v>
      </c>
      <c r="BA12" s="130">
        <f t="shared" si="53"/>
        <v>0</v>
      </c>
      <c r="BB12" s="130">
        <f t="shared" si="53"/>
        <v>0</v>
      </c>
      <c r="BC12" s="130">
        <f t="shared" si="53"/>
        <v>0</v>
      </c>
      <c r="BD12" s="130">
        <f t="shared" si="53"/>
        <v>208602.66159695818</v>
      </c>
      <c r="BE12" s="130">
        <f t="shared" si="53"/>
        <v>0</v>
      </c>
      <c r="BF12" s="41">
        <f t="shared" si="7"/>
        <v>667783.9361692015</v>
      </c>
      <c r="BG12" s="130">
        <f t="shared" si="53"/>
        <v>0</v>
      </c>
      <c r="BH12" s="130">
        <f t="shared" si="53"/>
        <v>0</v>
      </c>
      <c r="BI12" s="130">
        <f t="shared" si="53"/>
        <v>0</v>
      </c>
      <c r="BJ12" s="130">
        <f t="shared" si="53"/>
        <v>0</v>
      </c>
      <c r="BK12" s="130">
        <f t="shared" si="53"/>
        <v>0</v>
      </c>
      <c r="BL12" s="130">
        <f t="shared" si="53"/>
        <v>0</v>
      </c>
      <c r="BM12" s="130">
        <f t="shared" si="53"/>
        <v>378524.6978612167</v>
      </c>
      <c r="BN12" s="130">
        <f t="shared" si="53"/>
        <v>208602.66159695818</v>
      </c>
      <c r="BO12" s="41">
        <f t="shared" si="8"/>
        <v>587127.3594581748</v>
      </c>
      <c r="BP12" s="130">
        <f t="shared" si="53"/>
        <v>378524.6978612167</v>
      </c>
      <c r="BQ12" s="130">
        <f t="shared" si="53"/>
        <v>0</v>
      </c>
      <c r="BR12" s="130">
        <f t="shared" si="53"/>
        <v>459181.27457224333</v>
      </c>
      <c r="BS12" s="41">
        <f t="shared" si="9"/>
        <v>0</v>
      </c>
      <c r="BT12" s="130">
        <f t="shared" si="53"/>
        <v>727069.9152091255</v>
      </c>
      <c r="BU12" s="130">
        <f t="shared" si="53"/>
        <v>442836.6302281369</v>
      </c>
      <c r="BV12" s="130">
        <f aca="true" t="shared" si="54" ref="BV12:CA12">(BV43/($B$12+$B$14+$B$23)*$B$12)</f>
        <v>0</v>
      </c>
      <c r="BW12" s="130">
        <f t="shared" si="54"/>
        <v>47292.24980988592</v>
      </c>
      <c r="BX12" s="4">
        <f t="shared" si="10"/>
        <v>1217198.7952471483</v>
      </c>
      <c r="BY12" s="130">
        <f t="shared" si="54"/>
        <v>1217198.7952471483</v>
      </c>
      <c r="BZ12" s="130">
        <f t="shared" si="54"/>
        <v>0</v>
      </c>
      <c r="CA12" s="130">
        <f t="shared" si="54"/>
        <v>0</v>
      </c>
      <c r="CB12" s="4">
        <f t="shared" si="11"/>
        <v>1217198.7952471483</v>
      </c>
      <c r="CC12" s="4">
        <f t="shared" si="12"/>
        <v>0</v>
      </c>
      <c r="CD12" s="70">
        <f t="shared" si="13"/>
        <v>-94907.8039448669</v>
      </c>
      <c r="CE12" s="72">
        <f t="shared" si="14"/>
        <v>-94907.8039448669</v>
      </c>
      <c r="CF12" s="72">
        <f t="shared" si="15"/>
        <v>80656.57671102666</v>
      </c>
      <c r="CG12" s="72">
        <f t="shared" si="35"/>
        <v>834322.8246673004</v>
      </c>
      <c r="CH12" s="72">
        <f>I12-AG12+AY12+AH12+BQ12</f>
        <v>20483.08274714829</v>
      </c>
      <c r="CI12" s="35">
        <f t="shared" si="17"/>
        <v>92854.5577471483</v>
      </c>
      <c r="CJ12" s="57">
        <f t="shared" si="36"/>
        <v>-1.1766902069858358</v>
      </c>
      <c r="CK12" s="57">
        <f t="shared" si="37"/>
        <v>-1.1766902069858358</v>
      </c>
      <c r="CL12" s="148">
        <f t="shared" si="38"/>
        <v>-0.11375429406802205</v>
      </c>
      <c r="CM12" s="148">
        <f t="shared" si="39"/>
        <v>-0.11375429406802205</v>
      </c>
      <c r="CN12" s="148">
        <f t="shared" si="40"/>
        <v>0.02455054823091559</v>
      </c>
      <c r="CO12" s="148">
        <f t="shared" si="41"/>
        <v>0.11129332076486764</v>
      </c>
      <c r="CP12" s="148">
        <f t="shared" si="42"/>
        <v>0.14047037355507738</v>
      </c>
      <c r="CQ12" s="148">
        <f t="shared" si="43"/>
        <v>0.14047037355507738</v>
      </c>
      <c r="CR12" s="149">
        <f t="shared" si="44"/>
        <v>5.164263207720459</v>
      </c>
      <c r="CS12" s="72">
        <f t="shared" si="45"/>
        <v>-490128.88003802276</v>
      </c>
      <c r="CT12" s="76">
        <f t="shared" si="18"/>
        <v>930124.6400190112</v>
      </c>
      <c r="CU12" s="76">
        <f t="shared" si="19"/>
        <v>835216.8360741446</v>
      </c>
      <c r="CV12" s="76">
        <f t="shared" si="20"/>
        <v>-94907.80394486664</v>
      </c>
      <c r="CW12" s="76">
        <f t="shared" si="21"/>
        <v>0</v>
      </c>
      <c r="CX12" s="76">
        <f t="shared" si="22"/>
        <v>-94907.80394486664</v>
      </c>
      <c r="CY12" s="76">
        <f t="shared" si="23"/>
        <v>-167279.27894486664</v>
      </c>
      <c r="CZ12" s="76">
        <f t="shared" si="24"/>
        <v>80656.57671102666</v>
      </c>
      <c r="DA12" s="76">
        <f t="shared" si="25"/>
        <v>72371.475</v>
      </c>
      <c r="DB12" s="76">
        <f t="shared" si="26"/>
        <v>-175564.3806558933</v>
      </c>
      <c r="DC12" s="76">
        <f t="shared" si="27"/>
        <v>-450896.1728612167</v>
      </c>
      <c r="DD12" s="76">
        <f t="shared" si="28"/>
        <v>-167279.27894486662</v>
      </c>
      <c r="DE12" s="76">
        <f t="shared" si="29"/>
        <v>334234.746958175</v>
      </c>
      <c r="DF12" s="76">
        <f t="shared" si="30"/>
        <v>-781.704752851711</v>
      </c>
      <c r="DG12" s="76">
        <f t="shared" si="31"/>
        <v>32.66839353612168</v>
      </c>
      <c r="DH12" s="76">
        <f t="shared" si="32"/>
        <v>533.069771863118</v>
      </c>
      <c r="DI12" s="77">
        <f t="shared" si="33"/>
        <v>128.63887832699626</v>
      </c>
      <c r="DJ12" s="72">
        <f t="shared" si="34"/>
        <v>-280.00698669201483</v>
      </c>
      <c r="DK12" s="151">
        <f t="shared" si="46"/>
        <v>-490128.8800380228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39">
        <v>345</v>
      </c>
      <c r="C13" s="4">
        <v>839918</v>
      </c>
      <c r="D13" s="32">
        <v>2434.55</v>
      </c>
      <c r="E13" s="32">
        <v>68.12</v>
      </c>
      <c r="F13" s="8">
        <v>10</v>
      </c>
      <c r="G13" s="129">
        <f>(G44/($B$13+$B$16)*$B$13)</f>
        <v>287695.2088607595</v>
      </c>
      <c r="H13" s="129">
        <f aca="true" t="shared" si="55" ref="H13:BU13">(H44/($B$13+$B$16)*$B$13)</f>
        <v>49763.97547468354</v>
      </c>
      <c r="I13" s="129">
        <f t="shared" si="55"/>
        <v>3072.483386075949</v>
      </c>
      <c r="J13" s="129">
        <f t="shared" si="55"/>
        <v>0</v>
      </c>
      <c r="K13" s="129">
        <f t="shared" si="55"/>
        <v>75079.35126582278</v>
      </c>
      <c r="L13" s="129">
        <f t="shared" si="55"/>
        <v>109177.21518987343</v>
      </c>
      <c r="M13" s="41">
        <f t="shared" si="0"/>
        <v>184256.56645569621</v>
      </c>
      <c r="N13" s="129">
        <f t="shared" si="55"/>
        <v>0</v>
      </c>
      <c r="O13" s="129">
        <f t="shared" si="55"/>
        <v>111734.92800632912</v>
      </c>
      <c r="P13" s="129">
        <f t="shared" si="55"/>
        <v>9708.602056962025</v>
      </c>
      <c r="Q13" s="129">
        <f t="shared" si="55"/>
        <v>0</v>
      </c>
      <c r="R13" s="129">
        <f t="shared" si="55"/>
        <v>0</v>
      </c>
      <c r="S13" s="129">
        <f t="shared" si="55"/>
        <v>0</v>
      </c>
      <c r="T13" s="129">
        <f t="shared" si="55"/>
        <v>0</v>
      </c>
      <c r="U13" s="129">
        <f t="shared" si="55"/>
        <v>0</v>
      </c>
      <c r="V13" s="129">
        <f t="shared" si="55"/>
        <v>0</v>
      </c>
      <c r="W13" s="41">
        <f t="shared" si="1"/>
        <v>0</v>
      </c>
      <c r="X13" s="129">
        <f t="shared" si="55"/>
        <v>0</v>
      </c>
      <c r="Y13" s="41">
        <f t="shared" si="2"/>
        <v>646231.7642405063</v>
      </c>
      <c r="Z13" s="129">
        <f t="shared" si="55"/>
        <v>90584.31724683546</v>
      </c>
      <c r="AA13" s="129">
        <f t="shared" si="55"/>
        <v>0</v>
      </c>
      <c r="AB13" s="129">
        <f t="shared" si="55"/>
        <v>0</v>
      </c>
      <c r="AC13" s="129">
        <f t="shared" si="55"/>
        <v>9984.965981012658</v>
      </c>
      <c r="AD13" s="129">
        <f t="shared" si="55"/>
        <v>0</v>
      </c>
      <c r="AE13" s="41">
        <f t="shared" si="3"/>
        <v>100569.28322784812</v>
      </c>
      <c r="AF13" s="129">
        <f t="shared" si="55"/>
        <v>0</v>
      </c>
      <c r="AG13" s="129">
        <f t="shared" si="55"/>
        <v>13.137658227848103</v>
      </c>
      <c r="AH13" s="129">
        <f t="shared" si="55"/>
        <v>0</v>
      </c>
      <c r="AI13" s="129">
        <f t="shared" si="55"/>
        <v>11004.262658227848</v>
      </c>
      <c r="AJ13" s="129">
        <f t="shared" si="55"/>
        <v>271863.6028481013</v>
      </c>
      <c r="AK13" s="129">
        <f t="shared" si="55"/>
        <v>174.68354430379748</v>
      </c>
      <c r="AL13" s="129">
        <f t="shared" si="55"/>
        <v>114917.82594936709</v>
      </c>
      <c r="AM13" s="129">
        <f t="shared" si="55"/>
        <v>0</v>
      </c>
      <c r="AN13" s="129">
        <f t="shared" si="55"/>
        <v>0</v>
      </c>
      <c r="AO13" s="129">
        <f t="shared" si="55"/>
        <v>0</v>
      </c>
      <c r="AP13" s="129">
        <f t="shared" si="55"/>
        <v>0</v>
      </c>
      <c r="AQ13" s="129">
        <f t="shared" si="55"/>
        <v>0</v>
      </c>
      <c r="AR13" s="129">
        <f t="shared" si="55"/>
        <v>0</v>
      </c>
      <c r="AS13" s="4">
        <f t="shared" si="4"/>
        <v>0</v>
      </c>
      <c r="AT13" s="129">
        <f t="shared" si="55"/>
        <v>0</v>
      </c>
      <c r="AU13" s="4">
        <f>SUM(Z13:AT13)-AE13-AH13-AS13</f>
        <v>498542.79588607606</v>
      </c>
      <c r="AV13" s="129">
        <f t="shared" si="55"/>
        <v>0</v>
      </c>
      <c r="AW13" s="129">
        <f t="shared" si="55"/>
        <v>147688.96835443037</v>
      </c>
      <c r="AX13" s="4">
        <f t="shared" si="6"/>
        <v>0</v>
      </c>
      <c r="AY13" s="129">
        <f t="shared" si="55"/>
        <v>0</v>
      </c>
      <c r="AZ13" s="129">
        <f t="shared" si="55"/>
        <v>0</v>
      </c>
      <c r="BA13" s="129">
        <f t="shared" si="55"/>
        <v>0</v>
      </c>
      <c r="BB13" s="129">
        <f t="shared" si="55"/>
        <v>0</v>
      </c>
      <c r="BC13" s="129">
        <f t="shared" si="55"/>
        <v>0</v>
      </c>
      <c r="BD13" s="129">
        <f t="shared" si="55"/>
        <v>0</v>
      </c>
      <c r="BE13" s="129">
        <f t="shared" si="55"/>
        <v>0</v>
      </c>
      <c r="BF13" s="41">
        <f t="shared" si="7"/>
        <v>0</v>
      </c>
      <c r="BG13" s="129">
        <f t="shared" si="55"/>
        <v>0</v>
      </c>
      <c r="BH13" s="129">
        <f t="shared" si="55"/>
        <v>0</v>
      </c>
      <c r="BI13" s="129">
        <f t="shared" si="55"/>
        <v>0</v>
      </c>
      <c r="BJ13" s="129">
        <f t="shared" si="55"/>
        <v>0</v>
      </c>
      <c r="BK13" s="129">
        <f t="shared" si="55"/>
        <v>0</v>
      </c>
      <c r="BL13" s="129">
        <f t="shared" si="55"/>
        <v>0</v>
      </c>
      <c r="BM13" s="129">
        <f t="shared" si="55"/>
        <v>0</v>
      </c>
      <c r="BN13" s="129">
        <f t="shared" si="55"/>
        <v>0</v>
      </c>
      <c r="BO13" s="41">
        <f t="shared" si="8"/>
        <v>0</v>
      </c>
      <c r="BP13" s="129">
        <f t="shared" si="55"/>
        <v>0</v>
      </c>
      <c r="BQ13" s="129">
        <f t="shared" si="55"/>
        <v>0</v>
      </c>
      <c r="BR13" s="129">
        <f t="shared" si="55"/>
        <v>0</v>
      </c>
      <c r="BS13" s="41">
        <f t="shared" si="9"/>
        <v>0</v>
      </c>
      <c r="BT13" s="129">
        <f t="shared" si="55"/>
        <v>63049.678006329115</v>
      </c>
      <c r="BU13" s="129">
        <f t="shared" si="55"/>
        <v>406104.88607594935</v>
      </c>
      <c r="BV13" s="129">
        <f aca="true" t="shared" si="56" ref="BV13:CA13">(BV44/($B$13+$B$16)*$B$13)</f>
        <v>0</v>
      </c>
      <c r="BW13" s="129">
        <f t="shared" si="56"/>
        <v>147688.96835443037</v>
      </c>
      <c r="BX13" s="4">
        <f t="shared" si="10"/>
        <v>616843.5324367088</v>
      </c>
      <c r="BY13" s="129">
        <f t="shared" si="56"/>
        <v>558118.582278481</v>
      </c>
      <c r="BZ13" s="129">
        <f t="shared" si="56"/>
        <v>0</v>
      </c>
      <c r="CA13" s="129">
        <f t="shared" si="56"/>
        <v>58724.95015822785</v>
      </c>
      <c r="CB13" s="4">
        <f t="shared" si="11"/>
        <v>616843.5324367088</v>
      </c>
      <c r="CC13" s="4">
        <f t="shared" si="12"/>
        <v>0</v>
      </c>
      <c r="CD13" s="70">
        <f t="shared" si="13"/>
        <v>36567.598101265845</v>
      </c>
      <c r="CE13" s="72">
        <f t="shared" si="14"/>
        <v>36567.598101265845</v>
      </c>
      <c r="CF13" s="72">
        <f t="shared" si="15"/>
        <v>0</v>
      </c>
      <c r="CG13" s="72">
        <f t="shared" si="35"/>
        <v>498542.79588607606</v>
      </c>
      <c r="CH13" s="72">
        <f>I13-AG13+AY13+AH13+BQ13</f>
        <v>3059.345727848101</v>
      </c>
      <c r="CI13" s="35">
        <f t="shared" si="17"/>
        <v>78138.69699367089</v>
      </c>
      <c r="CJ13" s="57" t="str">
        <f t="shared" si="36"/>
        <v>-</v>
      </c>
      <c r="CK13" s="57" t="str">
        <f t="shared" si="37"/>
        <v>-</v>
      </c>
      <c r="CL13" s="148">
        <f t="shared" si="38"/>
        <v>0.07334896502971842</v>
      </c>
      <c r="CM13" s="148">
        <f t="shared" si="39"/>
        <v>0.07334896502971842</v>
      </c>
      <c r="CN13" s="148">
        <f t="shared" si="40"/>
        <v>0.006136575943115632</v>
      </c>
      <c r="CO13" s="148">
        <f t="shared" si="41"/>
        <v>0.15673418137512646</v>
      </c>
      <c r="CP13" s="148">
        <f t="shared" si="42"/>
        <v>0.3121080579796483</v>
      </c>
      <c r="CQ13" s="148">
        <f t="shared" si="43"/>
        <v>0.12717522620059318</v>
      </c>
      <c r="CR13" s="149">
        <f t="shared" si="44"/>
        <v>-13.538458361447981</v>
      </c>
      <c r="CS13" s="72">
        <f t="shared" si="45"/>
        <v>-495068.9042721519</v>
      </c>
      <c r="CT13" s="76">
        <f t="shared" si="18"/>
        <v>461975.19778481015</v>
      </c>
      <c r="CU13" s="76">
        <f t="shared" si="19"/>
        <v>498542.79588607606</v>
      </c>
      <c r="CV13" s="76">
        <f t="shared" si="20"/>
        <v>36567.5981012659</v>
      </c>
      <c r="CW13" s="76">
        <f t="shared" si="21"/>
        <v>0</v>
      </c>
      <c r="CX13" s="76">
        <f t="shared" si="22"/>
        <v>36567.5981012659</v>
      </c>
      <c r="CY13" s="76">
        <f t="shared" si="23"/>
        <v>-147688.9683544303</v>
      </c>
      <c r="CZ13" s="76">
        <f t="shared" si="24"/>
        <v>0</v>
      </c>
      <c r="DA13" s="76">
        <f t="shared" si="25"/>
        <v>184256.56645569621</v>
      </c>
      <c r="DB13" s="76">
        <f t="shared" si="26"/>
        <v>36567.5981012659</v>
      </c>
      <c r="DC13" s="76">
        <f t="shared" si="27"/>
        <v>-184256.56645569621</v>
      </c>
      <c r="DD13" s="76">
        <f t="shared" si="28"/>
        <v>-147688.9683544303</v>
      </c>
      <c r="DE13" s="76">
        <f t="shared" si="29"/>
        <v>90584.31724683546</v>
      </c>
      <c r="DF13" s="76">
        <f t="shared" si="30"/>
        <v>-1434.9823312236285</v>
      </c>
      <c r="DG13" s="76">
        <f t="shared" si="31"/>
        <v>8.867668776371307</v>
      </c>
      <c r="DH13" s="76">
        <f t="shared" si="32"/>
        <v>262.5632383966245</v>
      </c>
      <c r="DI13" s="77">
        <f t="shared" si="33"/>
        <v>0</v>
      </c>
      <c r="DJ13" s="72">
        <f t="shared" si="34"/>
        <v>105.99303797468377</v>
      </c>
      <c r="DK13" s="151">
        <f t="shared" si="46"/>
        <v>-495068.9042721519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4">
        <v>181</v>
      </c>
      <c r="C14" s="36">
        <v>480365</v>
      </c>
      <c r="D14" s="37">
        <v>2653.95</v>
      </c>
      <c r="E14" s="37">
        <v>74.26</v>
      </c>
      <c r="F14" s="124">
        <v>11</v>
      </c>
      <c r="G14" s="130">
        <f>(G43/($B$12+$B$14+$B$23)*$B$14)</f>
        <v>182563.22404942964</v>
      </c>
      <c r="H14" s="130">
        <f aca="true" t="shared" si="57" ref="H14:BU14">(H43/($B$12+$B$14+$B$23)*$B$14)</f>
        <v>29689.720769961976</v>
      </c>
      <c r="I14" s="130">
        <f t="shared" si="57"/>
        <v>6105.076663498099</v>
      </c>
      <c r="J14" s="130">
        <f t="shared" si="57"/>
        <v>0</v>
      </c>
      <c r="K14" s="130">
        <f t="shared" si="57"/>
        <v>20891.925000000003</v>
      </c>
      <c r="L14" s="130">
        <f t="shared" si="57"/>
        <v>0</v>
      </c>
      <c r="M14" s="41">
        <f t="shared" si="0"/>
        <v>20891.925000000003</v>
      </c>
      <c r="N14" s="130">
        <f t="shared" si="57"/>
        <v>0</v>
      </c>
      <c r="O14" s="130">
        <f t="shared" si="57"/>
        <v>49888.77880228137</v>
      </c>
      <c r="P14" s="130">
        <f t="shared" si="57"/>
        <v>0</v>
      </c>
      <c r="Q14" s="130">
        <f t="shared" si="57"/>
        <v>0</v>
      </c>
      <c r="R14" s="130">
        <f t="shared" si="57"/>
        <v>0</v>
      </c>
      <c r="S14" s="130">
        <f t="shared" si="57"/>
        <v>0</v>
      </c>
      <c r="T14" s="130">
        <f t="shared" si="57"/>
        <v>0</v>
      </c>
      <c r="U14" s="130">
        <f t="shared" si="57"/>
        <v>0</v>
      </c>
      <c r="V14" s="130">
        <f t="shared" si="57"/>
        <v>0</v>
      </c>
      <c r="W14" s="41">
        <f t="shared" si="1"/>
        <v>0</v>
      </c>
      <c r="X14" s="130">
        <f t="shared" si="57"/>
        <v>258.07984790874525</v>
      </c>
      <c r="Y14" s="41">
        <f t="shared" si="2"/>
        <v>289396.8051330798</v>
      </c>
      <c r="Z14" s="130">
        <f t="shared" si="57"/>
        <v>82981.34258555133</v>
      </c>
      <c r="AA14" s="130">
        <f t="shared" si="57"/>
        <v>13504.286121673003</v>
      </c>
      <c r="AB14" s="130">
        <f t="shared" si="57"/>
        <v>0</v>
      </c>
      <c r="AC14" s="130">
        <f t="shared" si="57"/>
        <v>5238.496150190114</v>
      </c>
      <c r="AD14" s="130">
        <f t="shared" si="57"/>
        <v>0</v>
      </c>
      <c r="AE14" s="41">
        <f t="shared" si="3"/>
        <v>101724.12485741446</v>
      </c>
      <c r="AF14" s="130">
        <f t="shared" si="57"/>
        <v>0</v>
      </c>
      <c r="AG14" s="130">
        <f t="shared" si="57"/>
        <v>192.09743346007602</v>
      </c>
      <c r="AH14" s="130">
        <f t="shared" si="57"/>
        <v>0</v>
      </c>
      <c r="AI14" s="130">
        <f t="shared" si="57"/>
        <v>0</v>
      </c>
      <c r="AJ14" s="130">
        <f t="shared" si="57"/>
        <v>56678.60152091255</v>
      </c>
      <c r="AK14" s="130">
        <f t="shared" si="57"/>
        <v>0</v>
      </c>
      <c r="AL14" s="130">
        <f t="shared" si="57"/>
        <v>82254.34885931559</v>
      </c>
      <c r="AM14" s="130">
        <f t="shared" si="57"/>
        <v>0</v>
      </c>
      <c r="AN14" s="130">
        <f t="shared" si="57"/>
        <v>0</v>
      </c>
      <c r="AO14" s="130">
        <f t="shared" si="57"/>
        <v>0</v>
      </c>
      <c r="AP14" s="130">
        <f t="shared" si="57"/>
        <v>0</v>
      </c>
      <c r="AQ14" s="130">
        <f t="shared" si="57"/>
        <v>0</v>
      </c>
      <c r="AR14" s="130">
        <f t="shared" si="57"/>
        <v>0</v>
      </c>
      <c r="AS14" s="4">
        <f t="shared" si="4"/>
        <v>0</v>
      </c>
      <c r="AT14" s="130">
        <f t="shared" si="57"/>
        <v>258.07984790874525</v>
      </c>
      <c r="AU14" s="4">
        <f t="shared" si="5"/>
        <v>241107.25251901144</v>
      </c>
      <c r="AV14" s="130">
        <f t="shared" si="57"/>
        <v>0</v>
      </c>
      <c r="AW14" s="130">
        <f t="shared" si="57"/>
        <v>48289.55261406844</v>
      </c>
      <c r="AX14" s="4">
        <f t="shared" si="6"/>
        <v>-5.820766091346741E-11</v>
      </c>
      <c r="AY14" s="130">
        <f t="shared" si="57"/>
        <v>0</v>
      </c>
      <c r="AZ14" s="130">
        <f t="shared" si="57"/>
        <v>132554.72200570343</v>
      </c>
      <c r="BA14" s="130">
        <f t="shared" si="57"/>
        <v>0</v>
      </c>
      <c r="BB14" s="130">
        <f t="shared" si="57"/>
        <v>0</v>
      </c>
      <c r="BC14" s="130">
        <f t="shared" si="57"/>
        <v>0</v>
      </c>
      <c r="BD14" s="130">
        <f t="shared" si="57"/>
        <v>60218.631178707226</v>
      </c>
      <c r="BE14" s="130">
        <f t="shared" si="57"/>
        <v>0</v>
      </c>
      <c r="BF14" s="41">
        <f t="shared" si="7"/>
        <v>192773.35318441066</v>
      </c>
      <c r="BG14" s="130">
        <f t="shared" si="57"/>
        <v>0</v>
      </c>
      <c r="BH14" s="130">
        <f t="shared" si="57"/>
        <v>0</v>
      </c>
      <c r="BI14" s="130">
        <f t="shared" si="57"/>
        <v>0</v>
      </c>
      <c r="BJ14" s="130">
        <f t="shared" si="57"/>
        <v>0</v>
      </c>
      <c r="BK14" s="130">
        <f t="shared" si="57"/>
        <v>0</v>
      </c>
      <c r="BL14" s="130">
        <f t="shared" si="57"/>
        <v>0</v>
      </c>
      <c r="BM14" s="130">
        <f t="shared" si="57"/>
        <v>109271.08502851709</v>
      </c>
      <c r="BN14" s="130">
        <f t="shared" si="57"/>
        <v>60218.631178707226</v>
      </c>
      <c r="BO14" s="41">
        <f t="shared" si="8"/>
        <v>169489.71620722432</v>
      </c>
      <c r="BP14" s="130">
        <f t="shared" si="57"/>
        <v>109271.08502851709</v>
      </c>
      <c r="BQ14" s="130">
        <f t="shared" si="57"/>
        <v>0</v>
      </c>
      <c r="BR14" s="130">
        <f t="shared" si="57"/>
        <v>132554.72200570343</v>
      </c>
      <c r="BS14" s="41">
        <f t="shared" si="9"/>
        <v>0</v>
      </c>
      <c r="BT14" s="130">
        <f t="shared" si="57"/>
        <v>209887.80646387834</v>
      </c>
      <c r="BU14" s="130">
        <f t="shared" si="57"/>
        <v>127836.41159695818</v>
      </c>
      <c r="BV14" s="130">
        <f aca="true" t="shared" si="58" ref="BV14:CA14">(BV43/($B$12+$B$14+$B$23)*$B$14)</f>
        <v>0</v>
      </c>
      <c r="BW14" s="130">
        <f t="shared" si="58"/>
        <v>13652.148669201519</v>
      </c>
      <c r="BX14" s="4">
        <f t="shared" si="10"/>
        <v>351376.3667300381</v>
      </c>
      <c r="BY14" s="130">
        <f t="shared" si="58"/>
        <v>351376.366730038</v>
      </c>
      <c r="BZ14" s="130">
        <f t="shared" si="58"/>
        <v>0</v>
      </c>
      <c r="CA14" s="130">
        <f t="shared" si="58"/>
        <v>0</v>
      </c>
      <c r="CB14" s="4">
        <f t="shared" si="11"/>
        <v>351376.366730038</v>
      </c>
      <c r="CC14" s="4">
        <f t="shared" si="12"/>
        <v>0</v>
      </c>
      <c r="CD14" s="70">
        <f t="shared" si="13"/>
        <v>-27397.627614068435</v>
      </c>
      <c r="CE14" s="72">
        <f t="shared" si="14"/>
        <v>-27397.627614068435</v>
      </c>
      <c r="CF14" s="72">
        <f t="shared" si="15"/>
        <v>23283.63697718634</v>
      </c>
      <c r="CG14" s="72">
        <f t="shared" si="35"/>
        <v>240849.1726711027</v>
      </c>
      <c r="CH14" s="72">
        <f t="shared" si="16"/>
        <v>5912.979230038023</v>
      </c>
      <c r="CI14" s="35">
        <f t="shared" si="17"/>
        <v>26804.904230038024</v>
      </c>
      <c r="CJ14" s="57">
        <f t="shared" si="36"/>
        <v>-1.176690206985835</v>
      </c>
      <c r="CK14" s="57">
        <f t="shared" si="37"/>
        <v>-1.176690206985835</v>
      </c>
      <c r="CL14" s="148">
        <f t="shared" si="38"/>
        <v>-0.11375429406802205</v>
      </c>
      <c r="CM14" s="148">
        <f t="shared" si="39"/>
        <v>-0.11375429406802205</v>
      </c>
      <c r="CN14" s="148">
        <f t="shared" si="40"/>
        <v>0.024550548230915587</v>
      </c>
      <c r="CO14" s="148">
        <f t="shared" si="41"/>
        <v>0.11129332076486764</v>
      </c>
      <c r="CP14" s="148">
        <f t="shared" si="42"/>
        <v>0.1404703735550774</v>
      </c>
      <c r="CQ14" s="148">
        <f t="shared" si="43"/>
        <v>0.1404703735550774</v>
      </c>
      <c r="CR14" s="149">
        <f t="shared" si="44"/>
        <v>5.164263207720459</v>
      </c>
      <c r="CS14" s="72">
        <f t="shared" si="45"/>
        <v>-141488.56026615968</v>
      </c>
      <c r="CT14" s="76">
        <f t="shared" si="18"/>
        <v>268504.88013307983</v>
      </c>
      <c r="CU14" s="76">
        <f t="shared" si="19"/>
        <v>241107.25251901144</v>
      </c>
      <c r="CV14" s="76">
        <f t="shared" si="20"/>
        <v>-27397.62761406839</v>
      </c>
      <c r="CW14" s="76">
        <f t="shared" si="21"/>
        <v>0</v>
      </c>
      <c r="CX14" s="76">
        <f t="shared" si="22"/>
        <v>-27397.62761406839</v>
      </c>
      <c r="CY14" s="76">
        <f t="shared" si="23"/>
        <v>-48289.552614068394</v>
      </c>
      <c r="CZ14" s="76">
        <f t="shared" si="24"/>
        <v>23283.63697718634</v>
      </c>
      <c r="DA14" s="76">
        <f t="shared" si="25"/>
        <v>20891.925000000003</v>
      </c>
      <c r="DB14" s="76">
        <f t="shared" si="26"/>
        <v>-50681.26459125473</v>
      </c>
      <c r="DC14" s="76">
        <f t="shared" si="27"/>
        <v>-130163.01002851709</v>
      </c>
      <c r="DD14" s="76">
        <f t="shared" si="28"/>
        <v>-48289.55261406838</v>
      </c>
      <c r="DE14" s="76">
        <f t="shared" si="29"/>
        <v>96485.62870722434</v>
      </c>
      <c r="DF14" s="76">
        <f t="shared" si="30"/>
        <v>-781.704752851711</v>
      </c>
      <c r="DG14" s="76">
        <f t="shared" si="31"/>
        <v>32.66839353612168</v>
      </c>
      <c r="DH14" s="76">
        <f t="shared" si="32"/>
        <v>533.0697718631179</v>
      </c>
      <c r="DI14" s="77">
        <f t="shared" si="33"/>
        <v>128.63887832699635</v>
      </c>
      <c r="DJ14" s="72">
        <f t="shared" si="34"/>
        <v>-280.00698669201506</v>
      </c>
      <c r="DK14" s="151">
        <f t="shared" si="46"/>
        <v>-141488.5602661597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39">
        <v>1145</v>
      </c>
      <c r="C15" s="4">
        <v>3292694</v>
      </c>
      <c r="D15" s="32">
        <v>2875.72</v>
      </c>
      <c r="E15" s="32">
        <v>80.46</v>
      </c>
      <c r="F15" s="8">
        <v>10</v>
      </c>
      <c r="G15" s="129">
        <v>1802800.45</v>
      </c>
      <c r="H15" s="41">
        <v>314782.7</v>
      </c>
      <c r="I15" s="41">
        <v>9599.5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288495.45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f>SUM(R15:V15)</f>
        <v>0</v>
      </c>
      <c r="X15" s="41">
        <v>397482.9</v>
      </c>
      <c r="Y15" s="41">
        <f>SUM(G15:X15)-M15-W15</f>
        <v>2813161</v>
      </c>
      <c r="Z15" s="41">
        <v>354179.45</v>
      </c>
      <c r="AA15" s="41">
        <v>80999.1</v>
      </c>
      <c r="AB15" s="41">
        <v>0</v>
      </c>
      <c r="AC15" s="41">
        <v>33138.5</v>
      </c>
      <c r="AD15" s="41">
        <v>0</v>
      </c>
      <c r="AE15" s="41">
        <f>SUM(Z15:AD15)</f>
        <v>468317.05000000005</v>
      </c>
      <c r="AF15" s="41">
        <v>0</v>
      </c>
      <c r="AG15" s="41">
        <v>9216.6</v>
      </c>
      <c r="AH15" s="41">
        <v>0</v>
      </c>
      <c r="AI15" s="41">
        <v>59845.75</v>
      </c>
      <c r="AJ15" s="41">
        <v>700712.25</v>
      </c>
      <c r="AK15" s="41">
        <v>360963.35</v>
      </c>
      <c r="AL15" s="41">
        <v>800922.25</v>
      </c>
      <c r="AM15" s="41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397482.9</v>
      </c>
      <c r="AU15" s="4">
        <f>SUM(Z15:AT15)-AE15-AH15-AS15</f>
        <v>2797460.1500000004</v>
      </c>
      <c r="AV15" s="4">
        <v>0</v>
      </c>
      <c r="AW15" s="4">
        <v>15700.85</v>
      </c>
      <c r="AX15" s="153">
        <f>Y15-AU15+AV15-AW15</f>
        <v>-3.728928277269006E-10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997034.9</v>
      </c>
      <c r="BU15" s="4">
        <v>6</v>
      </c>
      <c r="BV15" s="4">
        <v>0</v>
      </c>
      <c r="BW15" s="4">
        <v>0</v>
      </c>
      <c r="BX15" s="4">
        <f>SUM(BT15:BW15)</f>
        <v>997040.9</v>
      </c>
      <c r="BY15" s="4">
        <v>775280.95</v>
      </c>
      <c r="BZ15" s="4">
        <v>200000</v>
      </c>
      <c r="CA15" s="4">
        <v>21759.95</v>
      </c>
      <c r="CB15" s="4">
        <f>SUM(BY15:CA15)</f>
        <v>997040.8999999999</v>
      </c>
      <c r="CC15" s="153">
        <f>BX15-CB15</f>
        <v>0</v>
      </c>
      <c r="CD15" s="70">
        <f>K15+L15+AV15-AW15</f>
        <v>-15700.85</v>
      </c>
      <c r="CE15" s="72">
        <f>CD15+W15-AS15</f>
        <v>-15700.85</v>
      </c>
      <c r="CF15" s="72">
        <f>BR15-BP15</f>
        <v>0</v>
      </c>
      <c r="CG15" s="72">
        <f t="shared" si="35"/>
        <v>2399977.2500000005</v>
      </c>
      <c r="CH15" s="72">
        <f>I15-AG15+AY15+AH15+BQ15</f>
        <v>382.89999999999964</v>
      </c>
      <c r="CI15" s="35">
        <f>CH15+K15</f>
        <v>382.89999999999964</v>
      </c>
      <c r="CJ15" s="57" t="str">
        <f t="shared" si="36"/>
        <v>-</v>
      </c>
      <c r="CK15" s="57" t="str">
        <f t="shared" si="37"/>
        <v>-</v>
      </c>
      <c r="CL15" s="148">
        <f t="shared" si="38"/>
        <v>-0.006542082846826985</v>
      </c>
      <c r="CM15" s="148">
        <f t="shared" si="39"/>
        <v>-0.006542082846826985</v>
      </c>
      <c r="CN15" s="148">
        <f t="shared" si="40"/>
        <v>0.00015954317900305077</v>
      </c>
      <c r="CO15" s="148">
        <f t="shared" si="41"/>
        <v>0.00015954317900305077</v>
      </c>
      <c r="CP15" s="148">
        <f t="shared" si="42"/>
        <v>0</v>
      </c>
      <c r="CQ15" s="148">
        <f t="shared" si="43"/>
        <v>0</v>
      </c>
      <c r="CR15" s="149">
        <f t="shared" si="44"/>
        <v>-14.123690755596039</v>
      </c>
      <c r="CS15" s="72">
        <f t="shared" si="45"/>
        <v>221753.95000000007</v>
      </c>
      <c r="CT15" s="76">
        <f>Y15-K15-L15-V15</f>
        <v>2813161</v>
      </c>
      <c r="CU15" s="76">
        <f>AU15-AR15</f>
        <v>2797460.1500000004</v>
      </c>
      <c r="CV15" s="76">
        <f>CU15-CT15</f>
        <v>-15700.849999999627</v>
      </c>
      <c r="CW15" s="76">
        <f>-V15+AR15</f>
        <v>0</v>
      </c>
      <c r="CX15" s="76">
        <f>CV15+CW15</f>
        <v>-15700.849999999627</v>
      </c>
      <c r="CY15" s="76">
        <f>CX15-K15-L15</f>
        <v>-15700.849999999627</v>
      </c>
      <c r="CZ15" s="76">
        <f>BR15-BP15</f>
        <v>0</v>
      </c>
      <c r="DA15" s="76">
        <f>K15+L15</f>
        <v>0</v>
      </c>
      <c r="DB15" s="76">
        <f>-CZ15+DA15+CY15</f>
        <v>-15700.849999999627</v>
      </c>
      <c r="DC15" s="76">
        <f>-BP15-DA15</f>
        <v>0</v>
      </c>
      <c r="DD15" s="76">
        <f>DB15+DC15+BR15</f>
        <v>-15700.849999999627</v>
      </c>
      <c r="DE15" s="76">
        <f>Z15+AA15+AB15</f>
        <v>435178.55000000005</v>
      </c>
      <c r="DF15" s="76">
        <f>CS15/B15</f>
        <v>193.6715720524018</v>
      </c>
      <c r="DG15" s="76">
        <f>CH15/B15</f>
        <v>0.3344104803493447</v>
      </c>
      <c r="DH15" s="76">
        <f>DE15/B15</f>
        <v>380.0686026200874</v>
      </c>
      <c r="DI15" s="77">
        <f>CZ15/B15</f>
        <v>0</v>
      </c>
      <c r="DJ15" s="72">
        <f>DB15/B15</f>
        <v>-13.712532751091377</v>
      </c>
      <c r="DK15" s="151">
        <f t="shared" si="46"/>
        <v>21753.95</v>
      </c>
      <c r="DL15" s="72">
        <v>35</v>
      </c>
      <c r="DM15" s="72">
        <v>84</v>
      </c>
      <c r="DN15" s="63">
        <v>0</v>
      </c>
    </row>
    <row r="16" spans="1:118" ht="12.75">
      <c r="A16" s="49" t="s">
        <v>34</v>
      </c>
      <c r="B16" s="44">
        <v>603</v>
      </c>
      <c r="C16" s="36">
        <v>1374813</v>
      </c>
      <c r="D16" s="37">
        <v>2279.96</v>
      </c>
      <c r="E16" s="37">
        <v>63.79</v>
      </c>
      <c r="F16" s="124">
        <v>10</v>
      </c>
      <c r="G16" s="130">
        <f>(G44/($B$13+$B$16)*$B$16)</f>
        <v>502841.1911392406</v>
      </c>
      <c r="H16" s="130">
        <f aca="true" t="shared" si="59" ref="H16:BU16">(H44/($B$13+$B$16)*$B$16)</f>
        <v>86978.77452531645</v>
      </c>
      <c r="I16" s="130">
        <f t="shared" si="59"/>
        <v>5370.16661392405</v>
      </c>
      <c r="J16" s="130">
        <f t="shared" si="59"/>
        <v>0</v>
      </c>
      <c r="K16" s="130">
        <f t="shared" si="59"/>
        <v>131225.6487341772</v>
      </c>
      <c r="L16" s="130">
        <f t="shared" si="59"/>
        <v>190822.78481012658</v>
      </c>
      <c r="M16" s="41">
        <f t="shared" si="0"/>
        <v>322048.43354430376</v>
      </c>
      <c r="N16" s="130">
        <f t="shared" si="59"/>
        <v>0</v>
      </c>
      <c r="O16" s="130">
        <f t="shared" si="59"/>
        <v>195293.22199367092</v>
      </c>
      <c r="P16" s="130">
        <f t="shared" si="59"/>
        <v>16968.947943037976</v>
      </c>
      <c r="Q16" s="130">
        <f t="shared" si="59"/>
        <v>0</v>
      </c>
      <c r="R16" s="130">
        <f t="shared" si="59"/>
        <v>0</v>
      </c>
      <c r="S16" s="130">
        <f t="shared" si="59"/>
        <v>0</v>
      </c>
      <c r="T16" s="130">
        <f t="shared" si="59"/>
        <v>0</v>
      </c>
      <c r="U16" s="130">
        <f t="shared" si="59"/>
        <v>0</v>
      </c>
      <c r="V16" s="130">
        <f t="shared" si="59"/>
        <v>0</v>
      </c>
      <c r="W16" s="41">
        <f>SUM(R16:V16)</f>
        <v>0</v>
      </c>
      <c r="X16" s="130">
        <f t="shared" si="59"/>
        <v>0</v>
      </c>
      <c r="Y16" s="41">
        <f>SUM(G16:X16)-M16-W16</f>
        <v>1129500.7357594941</v>
      </c>
      <c r="Z16" s="130">
        <f t="shared" si="59"/>
        <v>158325.6327531646</v>
      </c>
      <c r="AA16" s="130">
        <f t="shared" si="59"/>
        <v>0</v>
      </c>
      <c r="AB16" s="130">
        <f t="shared" si="59"/>
        <v>0</v>
      </c>
      <c r="AC16" s="130">
        <f t="shared" si="59"/>
        <v>17451.984018987343</v>
      </c>
      <c r="AD16" s="130">
        <f t="shared" si="59"/>
        <v>0</v>
      </c>
      <c r="AE16" s="41">
        <f>SUM(Z16:AD16)</f>
        <v>175777.61677215193</v>
      </c>
      <c r="AF16" s="130">
        <f t="shared" si="59"/>
        <v>0</v>
      </c>
      <c r="AG16" s="130">
        <f t="shared" si="59"/>
        <v>22.962341772151902</v>
      </c>
      <c r="AH16" s="130">
        <f t="shared" si="59"/>
        <v>0</v>
      </c>
      <c r="AI16" s="130">
        <f t="shared" si="59"/>
        <v>19233.53734177215</v>
      </c>
      <c r="AJ16" s="130">
        <f t="shared" si="59"/>
        <v>475170.29715189873</v>
      </c>
      <c r="AK16" s="130">
        <f t="shared" si="59"/>
        <v>305.3164556962025</v>
      </c>
      <c r="AL16" s="130">
        <f t="shared" si="59"/>
        <v>200856.3740506329</v>
      </c>
      <c r="AM16" s="130">
        <f t="shared" si="59"/>
        <v>0</v>
      </c>
      <c r="AN16" s="130">
        <f t="shared" si="59"/>
        <v>0</v>
      </c>
      <c r="AO16" s="130">
        <f t="shared" si="59"/>
        <v>0</v>
      </c>
      <c r="AP16" s="130">
        <f t="shared" si="59"/>
        <v>0</v>
      </c>
      <c r="AQ16" s="130">
        <f t="shared" si="59"/>
        <v>0</v>
      </c>
      <c r="AR16" s="130">
        <f t="shared" si="59"/>
        <v>0</v>
      </c>
      <c r="AS16" s="4">
        <f>SUM(AN16:AR16)</f>
        <v>0</v>
      </c>
      <c r="AT16" s="130">
        <f t="shared" si="59"/>
        <v>0</v>
      </c>
      <c r="AU16" s="4">
        <f>SUM(Z16:AT16)-AE16-AH16-AS16</f>
        <v>871366.1041139242</v>
      </c>
      <c r="AV16" s="130">
        <f t="shared" si="59"/>
        <v>0</v>
      </c>
      <c r="AW16" s="130">
        <f t="shared" si="59"/>
        <v>258134.6316455696</v>
      </c>
      <c r="AX16" s="4">
        <f>Y16-AU16+AV16-AW16</f>
        <v>3.2014213502407074E-10</v>
      </c>
      <c r="AY16" s="130">
        <f t="shared" si="59"/>
        <v>0</v>
      </c>
      <c r="AZ16" s="130">
        <f t="shared" si="59"/>
        <v>0</v>
      </c>
      <c r="BA16" s="130">
        <f t="shared" si="59"/>
        <v>0</v>
      </c>
      <c r="BB16" s="130">
        <f t="shared" si="59"/>
        <v>0</v>
      </c>
      <c r="BC16" s="130">
        <f t="shared" si="59"/>
        <v>0</v>
      </c>
      <c r="BD16" s="130">
        <f t="shared" si="59"/>
        <v>0</v>
      </c>
      <c r="BE16" s="130">
        <f t="shared" si="59"/>
        <v>0</v>
      </c>
      <c r="BF16" s="41">
        <f>SUM(AZ16:BE16)</f>
        <v>0</v>
      </c>
      <c r="BG16" s="130">
        <f t="shared" si="59"/>
        <v>0</v>
      </c>
      <c r="BH16" s="130">
        <f t="shared" si="59"/>
        <v>0</v>
      </c>
      <c r="BI16" s="130">
        <f t="shared" si="59"/>
        <v>0</v>
      </c>
      <c r="BJ16" s="130">
        <f t="shared" si="59"/>
        <v>0</v>
      </c>
      <c r="BK16" s="130">
        <f t="shared" si="59"/>
        <v>0</v>
      </c>
      <c r="BL16" s="130">
        <f t="shared" si="59"/>
        <v>0</v>
      </c>
      <c r="BM16" s="130">
        <f t="shared" si="59"/>
        <v>0</v>
      </c>
      <c r="BN16" s="130">
        <f t="shared" si="59"/>
        <v>0</v>
      </c>
      <c r="BO16" s="41">
        <f>SUM(BG16:BN16)</f>
        <v>0</v>
      </c>
      <c r="BP16" s="130">
        <f t="shared" si="59"/>
        <v>0</v>
      </c>
      <c r="BQ16" s="130">
        <f t="shared" si="59"/>
        <v>0</v>
      </c>
      <c r="BR16" s="130">
        <f t="shared" si="59"/>
        <v>0</v>
      </c>
      <c r="BS16" s="41">
        <f>+BF16-BO16+BP16+BQ16-BR16</f>
        <v>0</v>
      </c>
      <c r="BT16" s="130">
        <f t="shared" si="59"/>
        <v>110199.87199367088</v>
      </c>
      <c r="BU16" s="130">
        <f t="shared" si="59"/>
        <v>709800.7139240507</v>
      </c>
      <c r="BV16" s="130">
        <f aca="true" t="shared" si="60" ref="BV16:CA16">(BV44/($B$13+$B$16)*$B$16)</f>
        <v>0</v>
      </c>
      <c r="BW16" s="130">
        <f t="shared" si="60"/>
        <v>258134.6316455696</v>
      </c>
      <c r="BX16" s="4">
        <f>SUM(BT16:BW16)</f>
        <v>1078135.217563291</v>
      </c>
      <c r="BY16" s="130">
        <f t="shared" si="60"/>
        <v>975494.2177215191</v>
      </c>
      <c r="BZ16" s="130">
        <f t="shared" si="60"/>
        <v>0</v>
      </c>
      <c r="CA16" s="130">
        <f t="shared" si="60"/>
        <v>102640.99984177217</v>
      </c>
      <c r="CB16" s="4">
        <f>SUM(BY16:CA16)</f>
        <v>1078135.2175632913</v>
      </c>
      <c r="CC16" s="4">
        <f>BX16-CB16</f>
        <v>0</v>
      </c>
      <c r="CD16" s="70">
        <f>K16+L16+AV16-AW16</f>
        <v>63913.80189873415</v>
      </c>
      <c r="CE16" s="72">
        <f>CD16+W16-AS16</f>
        <v>63913.80189873415</v>
      </c>
      <c r="CF16" s="72">
        <f>BR16-BP16</f>
        <v>0</v>
      </c>
      <c r="CG16" s="72">
        <f t="shared" si="35"/>
        <v>871366.1041139242</v>
      </c>
      <c r="CH16" s="72">
        <f>I16-AG16+AY16+AH16+BQ16</f>
        <v>5347.204272151897</v>
      </c>
      <c r="CI16" s="35">
        <f>CH16+K16</f>
        <v>136572.8530063291</v>
      </c>
      <c r="CJ16" s="57" t="str">
        <f t="shared" si="36"/>
        <v>-</v>
      </c>
      <c r="CK16" s="57" t="str">
        <f t="shared" si="37"/>
        <v>-</v>
      </c>
      <c r="CL16" s="148">
        <f t="shared" si="38"/>
        <v>0.07334896502971835</v>
      </c>
      <c r="CM16" s="148">
        <f t="shared" si="39"/>
        <v>0.07334896502971835</v>
      </c>
      <c r="CN16" s="148">
        <f t="shared" si="40"/>
        <v>0.006136575943115631</v>
      </c>
      <c r="CO16" s="148">
        <f t="shared" si="41"/>
        <v>0.15673418137512643</v>
      </c>
      <c r="CP16" s="148">
        <f t="shared" si="42"/>
        <v>0.3121080579796482</v>
      </c>
      <c r="CQ16" s="148">
        <f t="shared" si="43"/>
        <v>0.12717522620059316</v>
      </c>
      <c r="CR16" s="149">
        <f t="shared" si="44"/>
        <v>-13.538458361447995</v>
      </c>
      <c r="CS16" s="72">
        <f t="shared" si="45"/>
        <v>-865294.3457278481</v>
      </c>
      <c r="CT16" s="76">
        <f>Y16-K16-L16-V16</f>
        <v>807452.3022151904</v>
      </c>
      <c r="CU16" s="76">
        <f>AU16-AR16</f>
        <v>871366.1041139242</v>
      </c>
      <c r="CV16" s="76">
        <f>CU16-CT16</f>
        <v>63913.80189873383</v>
      </c>
      <c r="CW16" s="76">
        <f>-V16+AR16</f>
        <v>0</v>
      </c>
      <c r="CX16" s="76">
        <f>CV16+CW16</f>
        <v>63913.80189873383</v>
      </c>
      <c r="CY16" s="76">
        <f>CX16-K16-L16</f>
        <v>-258134.63164556996</v>
      </c>
      <c r="CZ16" s="76">
        <f>BR16-BP16</f>
        <v>0</v>
      </c>
      <c r="DA16" s="76">
        <f>K16+L16</f>
        <v>322048.43354430376</v>
      </c>
      <c r="DB16" s="76">
        <f>-CZ16+DA16+CY16</f>
        <v>63913.8018987338</v>
      </c>
      <c r="DC16" s="76">
        <f>-BP16-DA16</f>
        <v>-322048.43354430376</v>
      </c>
      <c r="DD16" s="76">
        <f>DB16+DC16+BR16</f>
        <v>-258134.63164556996</v>
      </c>
      <c r="DE16" s="76">
        <f>Z16+AA16+AB16</f>
        <v>158325.6327531646</v>
      </c>
      <c r="DF16" s="76">
        <f>CS16/B16</f>
        <v>-1434.9823312236288</v>
      </c>
      <c r="DG16" s="76">
        <f>CH16/B16</f>
        <v>8.867668776371305</v>
      </c>
      <c r="DH16" s="76">
        <f>DE16/B16</f>
        <v>262.5632383966245</v>
      </c>
      <c r="DI16" s="77">
        <f>CZ16/B16</f>
        <v>0</v>
      </c>
      <c r="DJ16" s="72">
        <f>DB16/B16</f>
        <v>105.99303797468292</v>
      </c>
      <c r="DK16" s="151">
        <f t="shared" si="46"/>
        <v>-865294.3457278481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39">
        <v>370</v>
      </c>
      <c r="C17" s="4">
        <v>1081889</v>
      </c>
      <c r="D17" s="32">
        <v>2924.03</v>
      </c>
      <c r="E17" s="32">
        <v>81.81</v>
      </c>
      <c r="F17" s="8">
        <v>10</v>
      </c>
      <c r="G17" s="142">
        <f>(G49/($B$49)*$B$17)+(G50/($B$50)*$B$17)+(G47)</f>
        <v>514410.91929793573</v>
      </c>
      <c r="H17" s="142">
        <f aca="true" t="shared" si="61" ref="H17:BU17">(H49/($B$49)*$B$17)+(H50/($B$50)*$B$17)+(H47)</f>
        <v>152985.1152614954</v>
      </c>
      <c r="I17" s="142">
        <f t="shared" si="61"/>
        <v>6779.840531927657</v>
      </c>
      <c r="J17" s="142">
        <f t="shared" si="61"/>
        <v>0</v>
      </c>
      <c r="K17" s="142">
        <f t="shared" si="61"/>
        <v>0</v>
      </c>
      <c r="L17" s="142">
        <f t="shared" si="61"/>
        <v>0</v>
      </c>
      <c r="M17" s="41">
        <f t="shared" si="0"/>
        <v>0</v>
      </c>
      <c r="N17" s="142">
        <f t="shared" si="61"/>
        <v>0</v>
      </c>
      <c r="O17" s="142">
        <f t="shared" si="61"/>
        <v>218347.23944773173</v>
      </c>
      <c r="P17" s="142">
        <f t="shared" si="61"/>
        <v>14934.15</v>
      </c>
      <c r="Q17" s="142">
        <f t="shared" si="61"/>
        <v>0</v>
      </c>
      <c r="R17" s="142">
        <f t="shared" si="61"/>
        <v>0</v>
      </c>
      <c r="S17" s="142">
        <f t="shared" si="61"/>
        <v>0</v>
      </c>
      <c r="T17" s="142">
        <f t="shared" si="61"/>
        <v>0</v>
      </c>
      <c r="U17" s="142">
        <f t="shared" si="61"/>
        <v>0</v>
      </c>
      <c r="V17" s="142">
        <f t="shared" si="61"/>
        <v>0</v>
      </c>
      <c r="W17" s="41">
        <f>SUM(R17:V17)</f>
        <v>0</v>
      </c>
      <c r="X17" s="142">
        <f t="shared" si="61"/>
        <v>1100.0813399221586</v>
      </c>
      <c r="Y17" s="41">
        <f>SUM(G17:X17)-M17-W17</f>
        <v>908557.3458790127</v>
      </c>
      <c r="Z17" s="142">
        <f t="shared" si="61"/>
        <v>186530.45</v>
      </c>
      <c r="AA17" s="142">
        <f t="shared" si="61"/>
        <v>0</v>
      </c>
      <c r="AB17" s="142">
        <f t="shared" si="61"/>
        <v>0</v>
      </c>
      <c r="AC17" s="142">
        <f t="shared" si="61"/>
        <v>10708.5</v>
      </c>
      <c r="AD17" s="142">
        <f t="shared" si="61"/>
        <v>0</v>
      </c>
      <c r="AE17" s="41">
        <f>SUM(Z17:AD17)</f>
        <v>197238.95</v>
      </c>
      <c r="AF17" s="142">
        <f t="shared" si="61"/>
        <v>0</v>
      </c>
      <c r="AG17" s="142">
        <f t="shared" si="61"/>
        <v>43956.85</v>
      </c>
      <c r="AH17" s="142">
        <f t="shared" si="61"/>
        <v>0</v>
      </c>
      <c r="AI17" s="142">
        <f t="shared" si="61"/>
        <v>1706</v>
      </c>
      <c r="AJ17" s="142">
        <f t="shared" si="61"/>
        <v>179479.89654333366</v>
      </c>
      <c r="AK17" s="142">
        <f t="shared" si="61"/>
        <v>165700.7957806177</v>
      </c>
      <c r="AL17" s="142">
        <f t="shared" si="61"/>
        <v>247844.41065565316</v>
      </c>
      <c r="AM17" s="142">
        <f t="shared" si="61"/>
        <v>0</v>
      </c>
      <c r="AN17" s="142">
        <f t="shared" si="61"/>
        <v>0</v>
      </c>
      <c r="AO17" s="142">
        <f t="shared" si="61"/>
        <v>0</v>
      </c>
      <c r="AP17" s="142">
        <f t="shared" si="61"/>
        <v>0</v>
      </c>
      <c r="AQ17" s="142">
        <f t="shared" si="61"/>
        <v>0</v>
      </c>
      <c r="AR17" s="142">
        <f t="shared" si="61"/>
        <v>0</v>
      </c>
      <c r="AS17" s="4">
        <f>SUM(AN17:AR17)</f>
        <v>0</v>
      </c>
      <c r="AT17" s="142">
        <f t="shared" si="61"/>
        <v>4685.042899408284</v>
      </c>
      <c r="AU17" s="4">
        <f>SUM(Z17:AT17)-AE17-AH17-AS17</f>
        <v>840611.9458790126</v>
      </c>
      <c r="AV17" s="142">
        <f t="shared" si="61"/>
        <v>0</v>
      </c>
      <c r="AW17" s="142">
        <f t="shared" si="61"/>
        <v>67945.4</v>
      </c>
      <c r="AX17" s="4">
        <f>Y17-AU17+AV17-AW17</f>
        <v>1.4551915228366852E-10</v>
      </c>
      <c r="AY17" s="142">
        <f t="shared" si="61"/>
        <v>0</v>
      </c>
      <c r="AZ17" s="142">
        <f t="shared" si="61"/>
        <v>0</v>
      </c>
      <c r="BA17" s="142">
        <f t="shared" si="61"/>
        <v>0</v>
      </c>
      <c r="BB17" s="142">
        <f t="shared" si="61"/>
        <v>0</v>
      </c>
      <c r="BC17" s="142">
        <f t="shared" si="61"/>
        <v>0</v>
      </c>
      <c r="BD17" s="142">
        <f t="shared" si="61"/>
        <v>0</v>
      </c>
      <c r="BE17" s="142">
        <f t="shared" si="61"/>
        <v>0</v>
      </c>
      <c r="BF17" s="41">
        <f>SUM(AZ17:BE17)</f>
        <v>0</v>
      </c>
      <c r="BG17" s="142">
        <f t="shared" si="61"/>
        <v>0</v>
      </c>
      <c r="BH17" s="142">
        <f t="shared" si="61"/>
        <v>0</v>
      </c>
      <c r="BI17" s="142">
        <f t="shared" si="61"/>
        <v>0</v>
      </c>
      <c r="BJ17" s="142">
        <f t="shared" si="61"/>
        <v>0</v>
      </c>
      <c r="BK17" s="142">
        <f t="shared" si="61"/>
        <v>0</v>
      </c>
      <c r="BL17" s="142">
        <f t="shared" si="61"/>
        <v>0</v>
      </c>
      <c r="BM17" s="142">
        <f t="shared" si="61"/>
        <v>0</v>
      </c>
      <c r="BN17" s="142">
        <f t="shared" si="61"/>
        <v>0</v>
      </c>
      <c r="BO17" s="41">
        <f>SUM(BG17:BN17)</f>
        <v>0</v>
      </c>
      <c r="BP17" s="142">
        <f t="shared" si="61"/>
        <v>0</v>
      </c>
      <c r="BQ17" s="142">
        <f t="shared" si="61"/>
        <v>0</v>
      </c>
      <c r="BR17" s="142">
        <f t="shared" si="61"/>
        <v>0</v>
      </c>
      <c r="BS17" s="41">
        <f>+BF17-BO17+BP17+BQ17-BR17</f>
        <v>0</v>
      </c>
      <c r="BT17" s="142">
        <f t="shared" si="61"/>
        <v>272314.4683312533</v>
      </c>
      <c r="BU17" s="142">
        <f t="shared" si="61"/>
        <v>542140</v>
      </c>
      <c r="BV17" s="142">
        <f aca="true" t="shared" si="62" ref="BV17:CA17">(BV49/($B$49)*$B$17)+(BV50/($B$50)*$B$17)+(BV47)</f>
        <v>0</v>
      </c>
      <c r="BW17" s="142">
        <f t="shared" si="62"/>
        <v>106100.4</v>
      </c>
      <c r="BX17" s="4">
        <f>SUM(BT17:BW17)</f>
        <v>920554.8683312533</v>
      </c>
      <c r="BY17" s="142">
        <f t="shared" si="62"/>
        <v>706535.0615122229</v>
      </c>
      <c r="BZ17" s="142">
        <f t="shared" si="62"/>
        <v>98732.63905325443</v>
      </c>
      <c r="CA17" s="142">
        <f t="shared" si="62"/>
        <v>115287.167765776</v>
      </c>
      <c r="CB17" s="4">
        <f>SUM(BY17:CA17)</f>
        <v>920554.8683312533</v>
      </c>
      <c r="CC17" s="4">
        <f>BX17-CB17</f>
        <v>0</v>
      </c>
      <c r="CD17" s="70">
        <f>K17+L17+AV17-AW17</f>
        <v>-67945.4</v>
      </c>
      <c r="CE17" s="72">
        <f>CD17+W17-AS17</f>
        <v>-67945.4</v>
      </c>
      <c r="CF17" s="72">
        <f>BR17-BP17</f>
        <v>0</v>
      </c>
      <c r="CG17" s="72">
        <f t="shared" si="35"/>
        <v>835926.9029796043</v>
      </c>
      <c r="CH17" s="72">
        <f>I17-AG17+AY17+AH17+BQ17</f>
        <v>-37177.00946807234</v>
      </c>
      <c r="CI17" s="35">
        <f>CH17+K17</f>
        <v>-37177.00946807234</v>
      </c>
      <c r="CJ17" s="57" t="str">
        <f t="shared" si="36"/>
        <v>-</v>
      </c>
      <c r="CK17" s="57" t="str">
        <f t="shared" si="37"/>
        <v>-</v>
      </c>
      <c r="CL17" s="148">
        <f t="shared" si="38"/>
        <v>-0.08128150889487258</v>
      </c>
      <c r="CM17" s="148">
        <f t="shared" si="39"/>
        <v>-0.08128150889487258</v>
      </c>
      <c r="CN17" s="148">
        <f t="shared" si="40"/>
        <v>-0.04447399567540826</v>
      </c>
      <c r="CO17" s="148">
        <f t="shared" si="41"/>
        <v>-0.04447399567540826</v>
      </c>
      <c r="CP17" s="148">
        <f t="shared" si="42"/>
        <v>0</v>
      </c>
      <c r="CQ17" s="148">
        <f t="shared" si="43"/>
        <v>0</v>
      </c>
      <c r="CR17" s="149">
        <f t="shared" si="44"/>
        <v>6.390728337473466</v>
      </c>
      <c r="CS17" s="72">
        <f t="shared" si="45"/>
        <v>-434220.5931809696</v>
      </c>
      <c r="CT17" s="76">
        <f>Y17-K17-L17-V17</f>
        <v>908557.3458790127</v>
      </c>
      <c r="CU17" s="76">
        <f>AU17-AR17</f>
        <v>840611.9458790126</v>
      </c>
      <c r="CV17" s="76">
        <f>CU17-CT17</f>
        <v>-67945.40000000014</v>
      </c>
      <c r="CW17" s="76">
        <f>-V17+AR17</f>
        <v>0</v>
      </c>
      <c r="CX17" s="76">
        <f>CV17+CW17</f>
        <v>-67945.40000000014</v>
      </c>
      <c r="CY17" s="76">
        <f>CX17-K17-L17</f>
        <v>-67945.40000000014</v>
      </c>
      <c r="CZ17" s="76">
        <f>BR17-BP17</f>
        <v>0</v>
      </c>
      <c r="DA17" s="76">
        <f>K17+L17</f>
        <v>0</v>
      </c>
      <c r="DB17" s="76">
        <f>-CZ17+DA17+CY17</f>
        <v>-67945.40000000014</v>
      </c>
      <c r="DC17" s="76">
        <f>-BP17-DA17</f>
        <v>0</v>
      </c>
      <c r="DD17" s="76">
        <f>DB17+DC17+BR17</f>
        <v>-67945.40000000014</v>
      </c>
      <c r="DE17" s="76">
        <f>Z17+AA17+AB17</f>
        <v>186530.45</v>
      </c>
      <c r="DF17" s="76">
        <f>CS17/B17</f>
        <v>-1173.5691707593774</v>
      </c>
      <c r="DG17" s="76">
        <f>CH17/B17</f>
        <v>-100.47840396776309</v>
      </c>
      <c r="DH17" s="76">
        <f>DE17/B17</f>
        <v>504.1363513513514</v>
      </c>
      <c r="DI17" s="77">
        <f>CZ17/B17</f>
        <v>0</v>
      </c>
      <c r="DJ17" s="72">
        <f>DB17/B17</f>
        <v>-183.63621621621658</v>
      </c>
      <c r="DK17" s="151">
        <f t="shared" si="46"/>
        <v>-532953.232234224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4">
        <v>1079</v>
      </c>
      <c r="C18" s="36">
        <v>5014056</v>
      </c>
      <c r="D18" s="37">
        <v>4646.95</v>
      </c>
      <c r="E18" s="37">
        <v>130.02</v>
      </c>
      <c r="F18" s="124">
        <v>13</v>
      </c>
      <c r="G18" s="130">
        <v>995565.2</v>
      </c>
      <c r="H18" s="40">
        <v>179907.65</v>
      </c>
      <c r="I18" s="40">
        <v>49347.05</v>
      </c>
      <c r="J18" s="40">
        <v>0</v>
      </c>
      <c r="K18" s="40">
        <v>143116.95</v>
      </c>
      <c r="L18" s="40">
        <v>0</v>
      </c>
      <c r="M18" s="41">
        <f t="shared" si="0"/>
        <v>143116.95</v>
      </c>
      <c r="N18" s="40">
        <v>0</v>
      </c>
      <c r="O18" s="40">
        <v>341159</v>
      </c>
      <c r="P18" s="40">
        <v>9375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aca="true" t="shared" si="63" ref="W18:W31">SUM(R18:V18)</f>
        <v>0</v>
      </c>
      <c r="X18" s="40">
        <v>10956.1</v>
      </c>
      <c r="Y18" s="41">
        <f aca="true" t="shared" si="64" ref="Y18:Y31">SUM(G18:X18)-M18-W18</f>
        <v>1729426.95</v>
      </c>
      <c r="Z18" s="40">
        <v>1062860.65</v>
      </c>
      <c r="AA18" s="40">
        <v>73920.75</v>
      </c>
      <c r="AB18" s="40">
        <v>0</v>
      </c>
      <c r="AC18" s="40">
        <v>31228.35</v>
      </c>
      <c r="AD18" s="40">
        <v>0</v>
      </c>
      <c r="AE18" s="41">
        <f aca="true" t="shared" si="65" ref="AE18:AE31">SUM(Z18:AD18)</f>
        <v>1168009.75</v>
      </c>
      <c r="AF18" s="40">
        <v>0</v>
      </c>
      <c r="AG18" s="40">
        <v>499.3</v>
      </c>
      <c r="AH18" s="40">
        <v>0</v>
      </c>
      <c r="AI18" s="40">
        <v>13577.15</v>
      </c>
      <c r="AJ18" s="40">
        <v>0</v>
      </c>
      <c r="AK18" s="40">
        <v>0</v>
      </c>
      <c r="AL18" s="40">
        <v>407567.75</v>
      </c>
      <c r="AM18" s="40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4">
        <f aca="true" t="shared" si="66" ref="AS18:AS31">SUM(AN18:AR18)</f>
        <v>0</v>
      </c>
      <c r="AT18" s="36">
        <v>10013.5</v>
      </c>
      <c r="AU18" s="4">
        <f aca="true" t="shared" si="67" ref="AU18:AU31">SUM(Z18:AT18)-AE18-AH18-AS18</f>
        <v>1599667.4499999997</v>
      </c>
      <c r="AV18" s="36">
        <v>0</v>
      </c>
      <c r="AW18" s="36">
        <v>129759.5</v>
      </c>
      <c r="AX18" s="153">
        <f aca="true" t="shared" si="68" ref="AX18:AX31">Y18-AU18+AV18-AW18</f>
        <v>2.3283064365386963E-10</v>
      </c>
      <c r="AY18" s="40">
        <v>0</v>
      </c>
      <c r="AZ18" s="40">
        <v>190116.95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aca="true" t="shared" si="69" ref="BF18:BF31">SUM(AZ18:BE18)</f>
        <v>190116.95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1">
        <f aca="true" t="shared" si="70" ref="BO18:BO31">SUM(BG18:BN18)</f>
        <v>0</v>
      </c>
      <c r="BP18" s="40">
        <v>0</v>
      </c>
      <c r="BQ18" s="40">
        <v>0</v>
      </c>
      <c r="BR18" s="40">
        <v>190116.95</v>
      </c>
      <c r="BS18" s="41">
        <f aca="true" t="shared" si="71" ref="BS18:BS31">+BF18-BO18+BP18+BQ18-BR18</f>
        <v>0</v>
      </c>
      <c r="BT18" s="36">
        <v>668742.33</v>
      </c>
      <c r="BU18" s="36">
        <v>1280001</v>
      </c>
      <c r="BV18" s="36">
        <v>0</v>
      </c>
      <c r="BW18" s="36">
        <v>147255.12</v>
      </c>
      <c r="BX18" s="4">
        <f aca="true" t="shared" si="72" ref="BX18:BX31">SUM(BT18:BW18)</f>
        <v>2095998.4500000002</v>
      </c>
      <c r="BY18" s="36">
        <v>2095998.45</v>
      </c>
      <c r="BZ18" s="36">
        <v>0</v>
      </c>
      <c r="CA18" s="36">
        <v>0</v>
      </c>
      <c r="CB18" s="4">
        <f aca="true" t="shared" si="73" ref="CB18:CB31">SUM(BY18:CA18)</f>
        <v>2095998.45</v>
      </c>
      <c r="CC18" s="153">
        <f aca="true" t="shared" si="74" ref="CC18:CC31">BX18-CB18</f>
        <v>0</v>
      </c>
      <c r="CD18" s="70">
        <f aca="true" t="shared" si="75" ref="CD18:CD31">K18+L18+AV18-AW18</f>
        <v>13357.450000000012</v>
      </c>
      <c r="CE18" s="72">
        <f aca="true" t="shared" si="76" ref="CE18:CE31">CD18+W18-AS18</f>
        <v>13357.450000000012</v>
      </c>
      <c r="CF18" s="72">
        <f aca="true" t="shared" si="77" ref="CF18:CF31">BR18-BP18</f>
        <v>190116.95</v>
      </c>
      <c r="CG18" s="72">
        <f t="shared" si="35"/>
        <v>1589653.9499999997</v>
      </c>
      <c r="CH18" s="72">
        <f aca="true" t="shared" si="78" ref="CH18:CH31">I18-AG18+AY18+AH18+BQ18</f>
        <v>48847.75</v>
      </c>
      <c r="CI18" s="35">
        <f aca="true" t="shared" si="79" ref="CI18:CI31">CH18+K18</f>
        <v>191964.7</v>
      </c>
      <c r="CJ18" s="57">
        <f t="shared" si="36"/>
        <v>0.07025912208248665</v>
      </c>
      <c r="CK18" s="57">
        <f t="shared" si="37"/>
        <v>0.07025912208248665</v>
      </c>
      <c r="CL18" s="148">
        <f t="shared" si="38"/>
        <v>0.008402740734862461</v>
      </c>
      <c r="CM18" s="148">
        <f t="shared" si="39"/>
        <v>0.008402740734862461</v>
      </c>
      <c r="CN18" s="148">
        <f t="shared" si="40"/>
        <v>0.030728543152426357</v>
      </c>
      <c r="CO18" s="148">
        <f t="shared" si="41"/>
        <v>0.12075879785031204</v>
      </c>
      <c r="CP18" s="148">
        <f t="shared" si="42"/>
        <v>0.1005657682836479</v>
      </c>
      <c r="CQ18" s="148">
        <f t="shared" si="43"/>
        <v>0.1005657682836479</v>
      </c>
      <c r="CR18" s="149">
        <f t="shared" si="44"/>
        <v>-106.85094235800986</v>
      </c>
      <c r="CS18" s="72">
        <f t="shared" si="45"/>
        <v>-1427256.12</v>
      </c>
      <c r="CT18" s="76">
        <f aca="true" t="shared" si="80" ref="CT18:CT31">Y18-K18-L18-V18</f>
        <v>1586310</v>
      </c>
      <c r="CU18" s="76">
        <f aca="true" t="shared" si="81" ref="CU18:CU31">AU18-AR18</f>
        <v>1599667.4499999997</v>
      </c>
      <c r="CV18" s="76">
        <f aca="true" t="shared" si="82" ref="CV18:CV31">CU18-CT18</f>
        <v>13357.44999999972</v>
      </c>
      <c r="CW18" s="76">
        <f aca="true" t="shared" si="83" ref="CW18:CW31">-V18+AR18</f>
        <v>0</v>
      </c>
      <c r="CX18" s="76">
        <f aca="true" t="shared" si="84" ref="CX18:CX31">CV18+CW18</f>
        <v>13357.44999999972</v>
      </c>
      <c r="CY18" s="76">
        <f aca="true" t="shared" si="85" ref="CY18:CY31">CX18-K18-L18</f>
        <v>-129759.50000000029</v>
      </c>
      <c r="CZ18" s="76">
        <f aca="true" t="shared" si="86" ref="CZ18:CZ31">BR18-BP18</f>
        <v>190116.95</v>
      </c>
      <c r="DA18" s="76">
        <f aca="true" t="shared" si="87" ref="DA18:DA31">K18+L18</f>
        <v>143116.95</v>
      </c>
      <c r="DB18" s="76">
        <f aca="true" t="shared" si="88" ref="DB18:DB31">-CZ18+DA18+CY18</f>
        <v>-176759.5000000003</v>
      </c>
      <c r="DC18" s="76">
        <f aca="true" t="shared" si="89" ref="DC18:DC31">-BP18-DA18</f>
        <v>-143116.95</v>
      </c>
      <c r="DD18" s="76">
        <f aca="true" t="shared" si="90" ref="DD18:DD31">DB18+DC18+BR18</f>
        <v>-129759.50000000029</v>
      </c>
      <c r="DE18" s="76">
        <f aca="true" t="shared" si="91" ref="DE18:DE31">Z18+AA18+AB18</f>
        <v>1136781.4</v>
      </c>
      <c r="DF18" s="76">
        <f aca="true" t="shared" si="92" ref="DF18:DF31">CS18/B18</f>
        <v>-1322.7582205746062</v>
      </c>
      <c r="DG18" s="76">
        <f aca="true" t="shared" si="93" ref="DG18:DG31">CH18/B18</f>
        <v>45.27131603336423</v>
      </c>
      <c r="DH18" s="76">
        <f aca="true" t="shared" si="94" ref="DH18:DH31">DE18/B18</f>
        <v>1053.5508804448564</v>
      </c>
      <c r="DI18" s="77">
        <f aca="true" t="shared" si="95" ref="DI18:DI31">CZ18/B18</f>
        <v>176.19735866543095</v>
      </c>
      <c r="DJ18" s="72">
        <f aca="true" t="shared" si="96" ref="DJ18:DJ31">DB18/B18</f>
        <v>-163.81788693234503</v>
      </c>
      <c r="DK18" s="151">
        <f t="shared" si="46"/>
        <v>-1427256.12</v>
      </c>
      <c r="DL18" s="136">
        <v>21</v>
      </c>
      <c r="DM18" s="136">
        <v>81</v>
      </c>
      <c r="DN18" s="65">
        <v>0</v>
      </c>
    </row>
    <row r="19" spans="1:118" ht="12.75">
      <c r="A19" s="50" t="s">
        <v>35</v>
      </c>
      <c r="B19" s="39">
        <v>2984</v>
      </c>
      <c r="C19" s="4">
        <v>11634719</v>
      </c>
      <c r="D19" s="32">
        <v>3899.03</v>
      </c>
      <c r="E19" s="32">
        <v>109.09</v>
      </c>
      <c r="F19" s="8">
        <v>12</v>
      </c>
      <c r="G19" s="129">
        <v>2239650.15</v>
      </c>
      <c r="H19" s="41">
        <v>401818.4</v>
      </c>
      <c r="I19" s="41">
        <v>337889.95</v>
      </c>
      <c r="J19" s="41">
        <v>0</v>
      </c>
      <c r="K19" s="41">
        <v>54940.2</v>
      </c>
      <c r="L19" s="41">
        <v>0</v>
      </c>
      <c r="M19" s="41">
        <f t="shared" si="0"/>
        <v>54940.2</v>
      </c>
      <c r="N19" s="41">
        <v>0</v>
      </c>
      <c r="O19" s="41">
        <v>863126.37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63"/>
        <v>0</v>
      </c>
      <c r="X19" s="41">
        <v>155267.3</v>
      </c>
      <c r="Y19" s="41">
        <f t="shared" si="64"/>
        <v>4052692.37</v>
      </c>
      <c r="Z19" s="41">
        <v>1568577.95</v>
      </c>
      <c r="AA19" s="41">
        <v>58980.7</v>
      </c>
      <c r="AB19" s="41">
        <v>0</v>
      </c>
      <c r="AC19" s="41">
        <v>86362.7</v>
      </c>
      <c r="AD19" s="41">
        <v>0</v>
      </c>
      <c r="AE19" s="41">
        <f t="shared" si="65"/>
        <v>1713921.3499999999</v>
      </c>
      <c r="AF19" s="41">
        <v>0</v>
      </c>
      <c r="AG19" s="41">
        <v>55435</v>
      </c>
      <c r="AH19" s="41">
        <v>0</v>
      </c>
      <c r="AI19" s="41">
        <v>39669</v>
      </c>
      <c r="AJ19" s="41">
        <v>880206.75</v>
      </c>
      <c r="AK19" s="41">
        <v>25824</v>
      </c>
      <c r="AL19" s="41">
        <v>912908.85</v>
      </c>
      <c r="AM19" s="41">
        <v>0</v>
      </c>
      <c r="AN19" s="4">
        <v>0</v>
      </c>
      <c r="AO19" s="4">
        <v>0</v>
      </c>
      <c r="AP19" s="4">
        <v>6254.85</v>
      </c>
      <c r="AQ19" s="4">
        <v>0</v>
      </c>
      <c r="AR19" s="4">
        <v>0</v>
      </c>
      <c r="AS19" s="4">
        <f t="shared" si="66"/>
        <v>6254.85</v>
      </c>
      <c r="AT19" s="4">
        <v>315999.35</v>
      </c>
      <c r="AU19" s="4">
        <f t="shared" si="67"/>
        <v>3950219.149999998</v>
      </c>
      <c r="AV19" s="4">
        <v>0</v>
      </c>
      <c r="AW19" s="4">
        <v>102473.22</v>
      </c>
      <c r="AX19" s="153">
        <f t="shared" si="68"/>
        <v>2.066371962428093E-09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9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70"/>
        <v>0</v>
      </c>
      <c r="BP19" s="41">
        <v>0</v>
      </c>
      <c r="BQ19" s="41">
        <v>0</v>
      </c>
      <c r="BR19" s="41">
        <v>0</v>
      </c>
      <c r="BS19" s="41">
        <f t="shared" si="71"/>
        <v>0</v>
      </c>
      <c r="BT19" s="4">
        <v>1475192.61</v>
      </c>
      <c r="BU19" s="4">
        <v>5085403</v>
      </c>
      <c r="BV19" s="4">
        <v>0</v>
      </c>
      <c r="BW19" s="4">
        <v>1010682.39</v>
      </c>
      <c r="BX19" s="4">
        <f t="shared" si="72"/>
        <v>7571278</v>
      </c>
      <c r="BY19" s="4">
        <v>7571278</v>
      </c>
      <c r="BZ19" s="4">
        <v>0</v>
      </c>
      <c r="CA19" s="4">
        <v>0</v>
      </c>
      <c r="CB19" s="4">
        <f t="shared" si="73"/>
        <v>7571278</v>
      </c>
      <c r="CC19" s="153">
        <f t="shared" si="74"/>
        <v>0</v>
      </c>
      <c r="CD19" s="70">
        <f t="shared" si="75"/>
        <v>-47533.020000000004</v>
      </c>
      <c r="CE19" s="72">
        <f t="shared" si="76"/>
        <v>-53787.87</v>
      </c>
      <c r="CF19" s="72">
        <f t="shared" si="77"/>
        <v>0</v>
      </c>
      <c r="CG19" s="72">
        <f t="shared" si="35"/>
        <v>3627964.949999998</v>
      </c>
      <c r="CH19" s="72">
        <f t="shared" si="78"/>
        <v>282454.95</v>
      </c>
      <c r="CI19" s="35">
        <f t="shared" si="79"/>
        <v>337395.15</v>
      </c>
      <c r="CJ19" s="57" t="str">
        <f t="shared" si="36"/>
        <v>-</v>
      </c>
      <c r="CK19" s="57" t="str">
        <f t="shared" si="37"/>
        <v>-</v>
      </c>
      <c r="CL19" s="148">
        <f t="shared" si="38"/>
        <v>-0.013101841019715484</v>
      </c>
      <c r="CM19" s="148">
        <f t="shared" si="39"/>
        <v>-0.014825906738707614</v>
      </c>
      <c r="CN19" s="148">
        <f t="shared" si="40"/>
        <v>0.07785492800860719</v>
      </c>
      <c r="CO19" s="148">
        <f t="shared" si="41"/>
        <v>0.09299845909481574</v>
      </c>
      <c r="CP19" s="148">
        <f t="shared" si="42"/>
        <v>0.010688041218726406</v>
      </c>
      <c r="CQ19" s="148">
        <f t="shared" si="43"/>
        <v>0.010688041218726406</v>
      </c>
      <c r="CR19" s="149">
        <f t="shared" si="44"/>
        <v>113.33569055625365</v>
      </c>
      <c r="CS19" s="72">
        <f t="shared" si="45"/>
        <v>-6096085.39</v>
      </c>
      <c r="CT19" s="76">
        <f t="shared" si="80"/>
        <v>3997752.17</v>
      </c>
      <c r="CU19" s="76">
        <f t="shared" si="81"/>
        <v>3950219.149999998</v>
      </c>
      <c r="CV19" s="76">
        <f t="shared" si="82"/>
        <v>-47533.02000000188</v>
      </c>
      <c r="CW19" s="76">
        <f t="shared" si="83"/>
        <v>0</v>
      </c>
      <c r="CX19" s="76">
        <f t="shared" si="84"/>
        <v>-47533.02000000188</v>
      </c>
      <c r="CY19" s="76">
        <f t="shared" si="85"/>
        <v>-102473.22000000188</v>
      </c>
      <c r="CZ19" s="76">
        <f t="shared" si="86"/>
        <v>0</v>
      </c>
      <c r="DA19" s="76">
        <f t="shared" si="87"/>
        <v>54940.2</v>
      </c>
      <c r="DB19" s="76">
        <f t="shared" si="88"/>
        <v>-47533.02000000188</v>
      </c>
      <c r="DC19" s="76">
        <f t="shared" si="89"/>
        <v>-54940.2</v>
      </c>
      <c r="DD19" s="76">
        <f t="shared" si="90"/>
        <v>-102473.22000000188</v>
      </c>
      <c r="DE19" s="76">
        <f t="shared" si="91"/>
        <v>1627558.65</v>
      </c>
      <c r="DF19" s="76">
        <f t="shared" si="92"/>
        <v>-2042.9240583109918</v>
      </c>
      <c r="DG19" s="76">
        <f t="shared" si="93"/>
        <v>94.65648458445041</v>
      </c>
      <c r="DH19" s="76">
        <f t="shared" si="94"/>
        <v>545.4285020107238</v>
      </c>
      <c r="DI19" s="77">
        <f t="shared" si="95"/>
        <v>0</v>
      </c>
      <c r="DJ19" s="72">
        <f t="shared" si="96"/>
        <v>-15.929296246649423</v>
      </c>
      <c r="DK19" s="151">
        <f t="shared" si="46"/>
        <v>-6096085.39</v>
      </c>
      <c r="DL19" s="72">
        <f>70</f>
        <v>70</v>
      </c>
      <c r="DM19" s="72">
        <v>265</v>
      </c>
      <c r="DN19" s="63">
        <v>0</v>
      </c>
    </row>
    <row r="20" spans="1:118" ht="12.75">
      <c r="A20" s="49" t="s">
        <v>12</v>
      </c>
      <c r="B20" s="44">
        <v>440</v>
      </c>
      <c r="C20" s="36">
        <v>1573282</v>
      </c>
      <c r="D20" s="37">
        <v>3575.64</v>
      </c>
      <c r="E20" s="37">
        <v>100.05</v>
      </c>
      <c r="F20" s="124">
        <v>10</v>
      </c>
      <c r="G20" s="130">
        <v>401142.5</v>
      </c>
      <c r="H20" s="40">
        <v>64904</v>
      </c>
      <c r="I20" s="40">
        <v>26252.25</v>
      </c>
      <c r="J20" s="40">
        <v>0</v>
      </c>
      <c r="K20" s="40">
        <v>99591.05</v>
      </c>
      <c r="L20" s="40">
        <v>0</v>
      </c>
      <c r="M20" s="41">
        <f t="shared" si="0"/>
        <v>99591.05</v>
      </c>
      <c r="N20" s="40">
        <v>0</v>
      </c>
      <c r="O20" s="40">
        <v>153423.9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63"/>
        <v>0</v>
      </c>
      <c r="X20" s="40">
        <v>0</v>
      </c>
      <c r="Y20" s="41">
        <f t="shared" si="64"/>
        <v>745313.7000000001</v>
      </c>
      <c r="Z20" s="40">
        <v>180729.2</v>
      </c>
      <c r="AA20" s="40">
        <v>788.25</v>
      </c>
      <c r="AB20" s="40">
        <v>0</v>
      </c>
      <c r="AC20" s="40">
        <v>12734.45</v>
      </c>
      <c r="AD20" s="40">
        <v>0</v>
      </c>
      <c r="AE20" s="41">
        <f t="shared" si="65"/>
        <v>194251.90000000002</v>
      </c>
      <c r="AF20" s="40">
        <v>0</v>
      </c>
      <c r="AG20" s="40">
        <v>1208.3</v>
      </c>
      <c r="AH20" s="40">
        <v>0</v>
      </c>
      <c r="AI20" s="40">
        <v>1984.9</v>
      </c>
      <c r="AJ20" s="40">
        <v>356215.75</v>
      </c>
      <c r="AK20" s="40">
        <v>0</v>
      </c>
      <c r="AL20" s="40">
        <v>182222.2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6"/>
        <v>0</v>
      </c>
      <c r="AT20" s="36">
        <v>0</v>
      </c>
      <c r="AU20" s="4">
        <f t="shared" si="67"/>
        <v>735883.0499999999</v>
      </c>
      <c r="AV20" s="36">
        <v>0</v>
      </c>
      <c r="AW20" s="36">
        <v>9430.65</v>
      </c>
      <c r="AX20" s="153">
        <f t="shared" si="68"/>
        <v>1.4006218407303095E-10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9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70"/>
        <v>0</v>
      </c>
      <c r="BP20" s="40">
        <v>0</v>
      </c>
      <c r="BQ20" s="40">
        <v>0</v>
      </c>
      <c r="BR20" s="40">
        <v>0</v>
      </c>
      <c r="BS20" s="41">
        <f t="shared" si="71"/>
        <v>0</v>
      </c>
      <c r="BT20" s="36">
        <v>520665.6</v>
      </c>
      <c r="BU20" s="36">
        <v>932874.25</v>
      </c>
      <c r="BV20" s="36">
        <v>0</v>
      </c>
      <c r="BW20" s="36">
        <v>268930.95</v>
      </c>
      <c r="BX20" s="4">
        <f t="shared" si="72"/>
        <v>1722470.8</v>
      </c>
      <c r="BY20" s="36">
        <v>1722470.8</v>
      </c>
      <c r="BZ20" s="36">
        <v>0</v>
      </c>
      <c r="CA20" s="36">
        <v>0</v>
      </c>
      <c r="CB20" s="4">
        <f t="shared" si="73"/>
        <v>1722470.8</v>
      </c>
      <c r="CC20" s="153">
        <f t="shared" si="74"/>
        <v>0</v>
      </c>
      <c r="CD20" s="70">
        <f t="shared" si="75"/>
        <v>90160.40000000001</v>
      </c>
      <c r="CE20" s="72">
        <f t="shared" si="76"/>
        <v>90160.40000000001</v>
      </c>
      <c r="CF20" s="72">
        <f t="shared" si="77"/>
        <v>0</v>
      </c>
      <c r="CG20" s="72">
        <f t="shared" si="35"/>
        <v>735883.0499999999</v>
      </c>
      <c r="CH20" s="72">
        <f t="shared" si="78"/>
        <v>25043.95</v>
      </c>
      <c r="CI20" s="35">
        <f t="shared" si="79"/>
        <v>124635</v>
      </c>
      <c r="CJ20" s="57" t="str">
        <f t="shared" si="36"/>
        <v>-</v>
      </c>
      <c r="CK20" s="57" t="str">
        <f t="shared" si="37"/>
        <v>-</v>
      </c>
      <c r="CL20" s="148">
        <f t="shared" si="38"/>
        <v>0.12252001184155556</v>
      </c>
      <c r="CM20" s="148">
        <f t="shared" si="39"/>
        <v>0.12252001184155556</v>
      </c>
      <c r="CN20" s="148">
        <f t="shared" si="40"/>
        <v>0.034032513726196034</v>
      </c>
      <c r="CO20" s="148">
        <f t="shared" si="41"/>
        <v>0.16936794508312158</v>
      </c>
      <c r="CP20" s="148">
        <f t="shared" si="42"/>
        <v>0.09645946454568498</v>
      </c>
      <c r="CQ20" s="148">
        <f t="shared" si="43"/>
        <v>0.09645946454568498</v>
      </c>
      <c r="CR20" s="149">
        <f t="shared" si="44"/>
        <v>-13.329634739863621</v>
      </c>
      <c r="CS20" s="72">
        <f t="shared" si="45"/>
        <v>-1201805.2000000002</v>
      </c>
      <c r="CT20" s="76">
        <f t="shared" si="80"/>
        <v>645722.65</v>
      </c>
      <c r="CU20" s="76">
        <f t="shared" si="81"/>
        <v>735883.0499999999</v>
      </c>
      <c r="CV20" s="76">
        <f t="shared" si="82"/>
        <v>90160.3999999999</v>
      </c>
      <c r="CW20" s="76">
        <f t="shared" si="83"/>
        <v>0</v>
      </c>
      <c r="CX20" s="76">
        <f t="shared" si="84"/>
        <v>90160.3999999999</v>
      </c>
      <c r="CY20" s="76">
        <f t="shared" si="85"/>
        <v>-9430.650000000096</v>
      </c>
      <c r="CZ20" s="76">
        <f t="shared" si="86"/>
        <v>0</v>
      </c>
      <c r="DA20" s="76">
        <f t="shared" si="87"/>
        <v>99591.05</v>
      </c>
      <c r="DB20" s="76">
        <f t="shared" si="88"/>
        <v>90160.3999999999</v>
      </c>
      <c r="DC20" s="76">
        <f t="shared" si="89"/>
        <v>-99591.05</v>
      </c>
      <c r="DD20" s="76">
        <f t="shared" si="90"/>
        <v>-9430.650000000096</v>
      </c>
      <c r="DE20" s="76">
        <f t="shared" si="91"/>
        <v>181517.45</v>
      </c>
      <c r="DF20" s="76">
        <f t="shared" si="92"/>
        <v>-2731.375454545455</v>
      </c>
      <c r="DG20" s="76">
        <f t="shared" si="93"/>
        <v>56.918068181818185</v>
      </c>
      <c r="DH20" s="76">
        <f t="shared" si="94"/>
        <v>412.53965909090914</v>
      </c>
      <c r="DI20" s="77">
        <f t="shared" si="95"/>
        <v>0</v>
      </c>
      <c r="DJ20" s="72">
        <f t="shared" si="96"/>
        <v>204.9099999999998</v>
      </c>
      <c r="DK20" s="151">
        <f t="shared" si="46"/>
        <v>-1201805.2</v>
      </c>
      <c r="DL20" s="136">
        <v>11</v>
      </c>
      <c r="DM20" s="136">
        <v>41</v>
      </c>
      <c r="DN20" s="65">
        <v>0</v>
      </c>
    </row>
    <row r="21" spans="1:118" ht="12.75">
      <c r="A21" s="50" t="s">
        <v>219</v>
      </c>
      <c r="B21" s="39">
        <v>3980</v>
      </c>
      <c r="C21" s="4">
        <v>16451699</v>
      </c>
      <c r="D21" s="32">
        <v>4133.59</v>
      </c>
      <c r="E21" s="32">
        <v>115.66</v>
      </c>
      <c r="F21" s="8">
        <v>10</v>
      </c>
      <c r="G21" s="129">
        <f>SUM(G40:G41)</f>
        <v>5648709.25</v>
      </c>
      <c r="H21" s="129">
        <f aca="true" t="shared" si="97" ref="H21:BU21">SUM(H40:H41)</f>
        <v>717607.8</v>
      </c>
      <c r="I21" s="129">
        <f t="shared" si="97"/>
        <v>67641.75</v>
      </c>
      <c r="J21" s="129">
        <f t="shared" si="97"/>
        <v>0</v>
      </c>
      <c r="K21" s="129">
        <f t="shared" si="97"/>
        <v>313167</v>
      </c>
      <c r="L21" s="129">
        <f t="shared" si="97"/>
        <v>273596.4</v>
      </c>
      <c r="M21" s="41">
        <f t="shared" si="0"/>
        <v>586763.4</v>
      </c>
      <c r="N21" s="129">
        <f>SUM(N40:N41)</f>
        <v>0</v>
      </c>
      <c r="O21" s="129">
        <f t="shared" si="97"/>
        <v>584212.45</v>
      </c>
      <c r="P21" s="129">
        <f t="shared" si="97"/>
        <v>1391.45</v>
      </c>
      <c r="Q21" s="129">
        <f t="shared" si="97"/>
        <v>4900</v>
      </c>
      <c r="R21" s="129">
        <f t="shared" si="97"/>
        <v>0</v>
      </c>
      <c r="S21" s="129">
        <f t="shared" si="97"/>
        <v>0</v>
      </c>
      <c r="T21" s="129">
        <f t="shared" si="97"/>
        <v>0</v>
      </c>
      <c r="U21" s="129">
        <f t="shared" si="97"/>
        <v>0</v>
      </c>
      <c r="V21" s="129">
        <f t="shared" si="97"/>
        <v>0</v>
      </c>
      <c r="W21" s="41">
        <f t="shared" si="63"/>
        <v>0</v>
      </c>
      <c r="X21" s="129">
        <f t="shared" si="97"/>
        <v>1392098.15</v>
      </c>
      <c r="Y21" s="41">
        <f t="shared" si="64"/>
        <v>9003324.25</v>
      </c>
      <c r="Z21" s="129">
        <f t="shared" si="97"/>
        <v>1547063.65</v>
      </c>
      <c r="AA21" s="129">
        <f t="shared" si="97"/>
        <v>442792.65</v>
      </c>
      <c r="AB21" s="129">
        <f t="shared" si="97"/>
        <v>9673.2</v>
      </c>
      <c r="AC21" s="129">
        <f t="shared" si="97"/>
        <v>115188.8</v>
      </c>
      <c r="AD21" s="129">
        <f t="shared" si="97"/>
        <v>0</v>
      </c>
      <c r="AE21" s="41">
        <f t="shared" si="65"/>
        <v>2114718.3</v>
      </c>
      <c r="AF21" s="129">
        <f t="shared" si="97"/>
        <v>0</v>
      </c>
      <c r="AG21" s="129">
        <f t="shared" si="97"/>
        <v>760.5</v>
      </c>
      <c r="AH21" s="129">
        <f t="shared" si="97"/>
        <v>0</v>
      </c>
      <c r="AI21" s="129">
        <f t="shared" si="97"/>
        <v>62882.299999999996</v>
      </c>
      <c r="AJ21" s="129">
        <f t="shared" si="97"/>
        <v>2329304.4</v>
      </c>
      <c r="AK21" s="129">
        <f t="shared" si="97"/>
        <v>573314.2</v>
      </c>
      <c r="AL21" s="129">
        <f t="shared" si="97"/>
        <v>2443282.15</v>
      </c>
      <c r="AM21" s="129">
        <f t="shared" si="97"/>
        <v>1250.1</v>
      </c>
      <c r="AN21" s="129">
        <f t="shared" si="97"/>
        <v>0</v>
      </c>
      <c r="AO21" s="129">
        <f t="shared" si="97"/>
        <v>13450.4</v>
      </c>
      <c r="AP21" s="129">
        <f t="shared" si="97"/>
        <v>0</v>
      </c>
      <c r="AQ21" s="129">
        <f t="shared" si="97"/>
        <v>0</v>
      </c>
      <c r="AR21" s="129">
        <f t="shared" si="97"/>
        <v>0</v>
      </c>
      <c r="AS21" s="4">
        <f t="shared" si="66"/>
        <v>13450.4</v>
      </c>
      <c r="AT21" s="129">
        <f t="shared" si="97"/>
        <v>1392098.15</v>
      </c>
      <c r="AU21" s="4">
        <f t="shared" si="67"/>
        <v>8931060.499999998</v>
      </c>
      <c r="AV21" s="129">
        <f t="shared" si="97"/>
        <v>0</v>
      </c>
      <c r="AW21" s="129">
        <f t="shared" si="97"/>
        <v>72263.75</v>
      </c>
      <c r="AX21" s="4">
        <f t="shared" si="68"/>
        <v>1.862645149230957E-09</v>
      </c>
      <c r="AY21" s="129">
        <f t="shared" si="97"/>
        <v>0</v>
      </c>
      <c r="AZ21" s="129">
        <f t="shared" si="97"/>
        <v>463103.2</v>
      </c>
      <c r="BA21" s="129">
        <f t="shared" si="97"/>
        <v>0</v>
      </c>
      <c r="BB21" s="129">
        <f t="shared" si="97"/>
        <v>0</v>
      </c>
      <c r="BC21" s="129">
        <f t="shared" si="97"/>
        <v>0</v>
      </c>
      <c r="BD21" s="129">
        <f t="shared" si="97"/>
        <v>1938.7</v>
      </c>
      <c r="BE21" s="129">
        <f t="shared" si="97"/>
        <v>2500000</v>
      </c>
      <c r="BF21" s="41">
        <f t="shared" si="69"/>
        <v>2965041.9</v>
      </c>
      <c r="BG21" s="129">
        <f t="shared" si="97"/>
        <v>41818.5</v>
      </c>
      <c r="BH21" s="129">
        <f t="shared" si="97"/>
        <v>0</v>
      </c>
      <c r="BI21" s="129">
        <f t="shared" si="97"/>
        <v>3167</v>
      </c>
      <c r="BJ21" s="129">
        <f t="shared" si="97"/>
        <v>0</v>
      </c>
      <c r="BK21" s="129">
        <f t="shared" si="97"/>
        <v>3000</v>
      </c>
      <c r="BL21" s="129">
        <f t="shared" si="97"/>
        <v>0</v>
      </c>
      <c r="BM21" s="129">
        <f t="shared" si="97"/>
        <v>33960</v>
      </c>
      <c r="BN21" s="129">
        <f t="shared" si="97"/>
        <v>0</v>
      </c>
      <c r="BO21" s="41">
        <f t="shared" si="70"/>
        <v>81945.5</v>
      </c>
      <c r="BP21" s="129">
        <f t="shared" si="97"/>
        <v>81945.5</v>
      </c>
      <c r="BQ21" s="129">
        <f t="shared" si="97"/>
        <v>0</v>
      </c>
      <c r="BR21" s="129">
        <f t="shared" si="97"/>
        <v>2965041.9</v>
      </c>
      <c r="BS21" s="41">
        <f t="shared" si="71"/>
        <v>0</v>
      </c>
      <c r="BT21" s="129">
        <f t="shared" si="97"/>
        <v>2267731.2</v>
      </c>
      <c r="BU21" s="129">
        <f t="shared" si="97"/>
        <v>4778500</v>
      </c>
      <c r="BV21" s="129">
        <f aca="true" t="shared" si="98" ref="BV21:CA21">SUM(BV40:BV41)</f>
        <v>0</v>
      </c>
      <c r="BW21" s="129">
        <f t="shared" si="98"/>
        <v>38954.6</v>
      </c>
      <c r="BX21" s="4">
        <f t="shared" si="72"/>
        <v>7085185.8</v>
      </c>
      <c r="BY21" s="129">
        <f t="shared" si="98"/>
        <v>6877746.449999999</v>
      </c>
      <c r="BZ21" s="129">
        <f t="shared" si="98"/>
        <v>0</v>
      </c>
      <c r="CA21" s="129">
        <f t="shared" si="98"/>
        <v>207439.35</v>
      </c>
      <c r="CB21" s="4">
        <f t="shared" si="73"/>
        <v>7085185.799999999</v>
      </c>
      <c r="CC21" s="4">
        <f t="shared" si="74"/>
        <v>0</v>
      </c>
      <c r="CD21" s="70">
        <f t="shared" si="75"/>
        <v>514499.65</v>
      </c>
      <c r="CE21" s="72">
        <f t="shared" si="76"/>
        <v>501049.25</v>
      </c>
      <c r="CF21" s="72">
        <f t="shared" si="77"/>
        <v>2883096.4</v>
      </c>
      <c r="CG21" s="72">
        <f t="shared" si="35"/>
        <v>7524261.849999998</v>
      </c>
      <c r="CH21" s="72">
        <f t="shared" si="78"/>
        <v>66881.25</v>
      </c>
      <c r="CI21" s="35">
        <f t="shared" si="79"/>
        <v>380048.25</v>
      </c>
      <c r="CJ21" s="57">
        <f t="shared" si="36"/>
        <v>0.17845384913248133</v>
      </c>
      <c r="CK21" s="57">
        <f t="shared" si="37"/>
        <v>0.17378858715927778</v>
      </c>
      <c r="CL21" s="148">
        <f t="shared" si="38"/>
        <v>0.0683787539903333</v>
      </c>
      <c r="CM21" s="148">
        <f t="shared" si="39"/>
        <v>0.06659115006743155</v>
      </c>
      <c r="CN21" s="148">
        <f t="shared" si="40"/>
        <v>0.008888745678089342</v>
      </c>
      <c r="CO21" s="148">
        <f t="shared" si="41"/>
        <v>0.05050970548027912</v>
      </c>
      <c r="CP21" s="148">
        <f t="shared" si="42"/>
        <v>0.10936339118038454</v>
      </c>
      <c r="CQ21" s="148">
        <f t="shared" si="43"/>
        <v>0.05836936169806686</v>
      </c>
      <c r="CR21" s="149">
        <f t="shared" si="44"/>
        <v>-9.200722783239371</v>
      </c>
      <c r="CS21" s="72">
        <f t="shared" si="45"/>
        <v>-4610015.249999999</v>
      </c>
      <c r="CT21" s="76">
        <f t="shared" si="80"/>
        <v>8416560.85</v>
      </c>
      <c r="CU21" s="76">
        <f t="shared" si="81"/>
        <v>8931060.499999998</v>
      </c>
      <c r="CV21" s="76">
        <f t="shared" si="82"/>
        <v>514499.6499999985</v>
      </c>
      <c r="CW21" s="76">
        <f t="shared" si="83"/>
        <v>0</v>
      </c>
      <c r="CX21" s="76">
        <f t="shared" si="84"/>
        <v>514499.6499999985</v>
      </c>
      <c r="CY21" s="76">
        <f t="shared" si="85"/>
        <v>-72263.75000000151</v>
      </c>
      <c r="CZ21" s="76">
        <f t="shared" si="86"/>
        <v>2883096.4</v>
      </c>
      <c r="DA21" s="76">
        <f t="shared" si="87"/>
        <v>586763.4</v>
      </c>
      <c r="DB21" s="76">
        <f t="shared" si="88"/>
        <v>-2368596.7500000014</v>
      </c>
      <c r="DC21" s="76">
        <f t="shared" si="89"/>
        <v>-668708.9</v>
      </c>
      <c r="DD21" s="76">
        <f t="shared" si="90"/>
        <v>-72263.7500000014</v>
      </c>
      <c r="DE21" s="76">
        <f t="shared" si="91"/>
        <v>1999529.4999999998</v>
      </c>
      <c r="DF21" s="76">
        <f t="shared" si="92"/>
        <v>-1158.2952889447233</v>
      </c>
      <c r="DG21" s="76">
        <f t="shared" si="93"/>
        <v>16.804334170854272</v>
      </c>
      <c r="DH21" s="76">
        <f t="shared" si="94"/>
        <v>502.39434673366827</v>
      </c>
      <c r="DI21" s="77">
        <f t="shared" si="95"/>
        <v>724.39608040201</v>
      </c>
      <c r="DJ21" s="72">
        <f t="shared" si="96"/>
        <v>-595.1248115577893</v>
      </c>
      <c r="DK21" s="151">
        <f t="shared" si="46"/>
        <v>-4610015.25</v>
      </c>
      <c r="DL21" s="72">
        <f>DL40+DL41</f>
        <v>103</v>
      </c>
      <c r="DM21" s="72">
        <f>DM40+DM41</f>
        <v>533</v>
      </c>
      <c r="DN21" s="63">
        <v>0</v>
      </c>
    </row>
    <row r="22" spans="1:118" ht="12.75">
      <c r="A22" s="49" t="s">
        <v>14</v>
      </c>
      <c r="B22" s="44">
        <v>2833</v>
      </c>
      <c r="C22" s="36">
        <v>9848677</v>
      </c>
      <c r="D22" s="37">
        <v>3476.41</v>
      </c>
      <c r="E22" s="37">
        <v>97.27</v>
      </c>
      <c r="F22" s="124">
        <v>15</v>
      </c>
      <c r="G22" s="130">
        <v>2191808.35</v>
      </c>
      <c r="H22" s="40">
        <v>321129.75</v>
      </c>
      <c r="I22" s="40">
        <v>85107.1</v>
      </c>
      <c r="J22" s="40">
        <v>0</v>
      </c>
      <c r="K22" s="40">
        <v>478553.85</v>
      </c>
      <c r="L22" s="40">
        <v>0</v>
      </c>
      <c r="M22" s="41">
        <f t="shared" si="0"/>
        <v>478553.85</v>
      </c>
      <c r="N22" s="40">
        <v>0</v>
      </c>
      <c r="O22" s="40">
        <v>781583.1</v>
      </c>
      <c r="P22" s="40">
        <v>28020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63"/>
        <v>0</v>
      </c>
      <c r="X22" s="40">
        <v>0</v>
      </c>
      <c r="Y22" s="41">
        <f t="shared" si="64"/>
        <v>3886202.15</v>
      </c>
      <c r="Z22" s="40">
        <v>1456473.2</v>
      </c>
      <c r="AA22" s="40">
        <v>218425.6</v>
      </c>
      <c r="AB22" s="40">
        <v>0</v>
      </c>
      <c r="AC22" s="40">
        <v>81992.45</v>
      </c>
      <c r="AD22" s="40">
        <v>0</v>
      </c>
      <c r="AE22" s="41">
        <f t="shared" si="65"/>
        <v>1756891.25</v>
      </c>
      <c r="AF22" s="40">
        <v>0</v>
      </c>
      <c r="AG22" s="40">
        <v>47473.3</v>
      </c>
      <c r="AH22" s="40">
        <v>0</v>
      </c>
      <c r="AI22" s="40">
        <v>23862.2</v>
      </c>
      <c r="AJ22" s="40">
        <v>923986.95</v>
      </c>
      <c r="AK22" s="40">
        <v>206000</v>
      </c>
      <c r="AL22" s="40">
        <v>936645.8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6"/>
        <v>0</v>
      </c>
      <c r="AT22" s="36">
        <v>0</v>
      </c>
      <c r="AU22" s="4">
        <f t="shared" si="67"/>
        <v>3894859.5</v>
      </c>
      <c r="AV22" s="36">
        <v>8657.35</v>
      </c>
      <c r="AW22" s="36">
        <v>0</v>
      </c>
      <c r="AX22" s="153">
        <f t="shared" si="68"/>
        <v>-9.276845958083868E-11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9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70"/>
        <v>0</v>
      </c>
      <c r="BP22" s="40">
        <v>0</v>
      </c>
      <c r="BQ22" s="40">
        <v>0</v>
      </c>
      <c r="BR22" s="40">
        <v>0</v>
      </c>
      <c r="BS22" s="41">
        <f t="shared" si="71"/>
        <v>0</v>
      </c>
      <c r="BT22" s="36">
        <v>1287108.1</v>
      </c>
      <c r="BU22" s="36">
        <v>3219050.4</v>
      </c>
      <c r="BV22" s="36">
        <v>0</v>
      </c>
      <c r="BW22" s="36">
        <v>0</v>
      </c>
      <c r="BX22" s="4">
        <f t="shared" si="72"/>
        <v>4506158.5</v>
      </c>
      <c r="BY22" s="36">
        <f>4345265</f>
        <v>4345265</v>
      </c>
      <c r="BZ22" s="36">
        <v>0</v>
      </c>
      <c r="CA22" s="36">
        <f>731429.83-570536.33</f>
        <v>160893.5</v>
      </c>
      <c r="CB22" s="4">
        <f t="shared" si="73"/>
        <v>4506158.5</v>
      </c>
      <c r="CC22" s="153">
        <f t="shared" si="74"/>
        <v>0</v>
      </c>
      <c r="CD22" s="70">
        <f t="shared" si="75"/>
        <v>487211.19999999995</v>
      </c>
      <c r="CE22" s="72">
        <f t="shared" si="76"/>
        <v>487211.19999999995</v>
      </c>
      <c r="CF22" s="72">
        <f t="shared" si="77"/>
        <v>0</v>
      </c>
      <c r="CG22" s="72">
        <f t="shared" si="35"/>
        <v>3894859.5</v>
      </c>
      <c r="CH22" s="72">
        <f t="shared" si="78"/>
        <v>37633.8</v>
      </c>
      <c r="CI22" s="35">
        <f t="shared" si="79"/>
        <v>516187.64999999997</v>
      </c>
      <c r="CJ22" s="57" t="str">
        <f t="shared" si="36"/>
        <v>-</v>
      </c>
      <c r="CK22" s="57" t="str">
        <f t="shared" si="37"/>
        <v>-</v>
      </c>
      <c r="CL22" s="148">
        <f t="shared" si="38"/>
        <v>0.12509082805169222</v>
      </c>
      <c r="CM22" s="148">
        <f t="shared" si="39"/>
        <v>0.12509082805169222</v>
      </c>
      <c r="CN22" s="148">
        <f t="shared" si="40"/>
        <v>0.009662428131232977</v>
      </c>
      <c r="CO22" s="148">
        <f t="shared" si="41"/>
        <v>0.13253049307683626</v>
      </c>
      <c r="CP22" s="148">
        <f t="shared" si="42"/>
        <v>0.12942267956339568</v>
      </c>
      <c r="CQ22" s="148">
        <f t="shared" si="43"/>
        <v>0.12942267956339568</v>
      </c>
      <c r="CR22" s="149">
        <f t="shared" si="44"/>
        <v>-6.276860835711495</v>
      </c>
      <c r="CS22" s="72">
        <f t="shared" si="45"/>
        <v>-3058156.9</v>
      </c>
      <c r="CT22" s="76">
        <f t="shared" si="80"/>
        <v>3407648.3</v>
      </c>
      <c r="CU22" s="76">
        <f t="shared" si="81"/>
        <v>3894859.5</v>
      </c>
      <c r="CV22" s="76">
        <f t="shared" si="82"/>
        <v>487211.2000000002</v>
      </c>
      <c r="CW22" s="76">
        <f t="shared" si="83"/>
        <v>0</v>
      </c>
      <c r="CX22" s="76">
        <f t="shared" si="84"/>
        <v>487211.2000000002</v>
      </c>
      <c r="CY22" s="76">
        <f t="shared" si="85"/>
        <v>8657.35000000021</v>
      </c>
      <c r="CZ22" s="76">
        <f t="shared" si="86"/>
        <v>0</v>
      </c>
      <c r="DA22" s="76">
        <f t="shared" si="87"/>
        <v>478553.85</v>
      </c>
      <c r="DB22" s="76">
        <f t="shared" si="88"/>
        <v>487211.2000000002</v>
      </c>
      <c r="DC22" s="76">
        <f t="shared" si="89"/>
        <v>-478553.85</v>
      </c>
      <c r="DD22" s="76">
        <f t="shared" si="90"/>
        <v>8657.35000000021</v>
      </c>
      <c r="DE22" s="76">
        <f t="shared" si="91"/>
        <v>1674898.8</v>
      </c>
      <c r="DF22" s="76">
        <f t="shared" si="92"/>
        <v>-1079.4764913519236</v>
      </c>
      <c r="DG22" s="76">
        <f t="shared" si="93"/>
        <v>13.284080480056478</v>
      </c>
      <c r="DH22" s="76">
        <f t="shared" si="94"/>
        <v>591.2103070949523</v>
      </c>
      <c r="DI22" s="77">
        <f t="shared" si="95"/>
        <v>0</v>
      </c>
      <c r="DJ22" s="72">
        <f t="shared" si="96"/>
        <v>171.97712672079075</v>
      </c>
      <c r="DK22" s="151">
        <f t="shared" si="46"/>
        <v>-3058156.9</v>
      </c>
      <c r="DL22" s="136">
        <v>63</v>
      </c>
      <c r="DM22" s="136">
        <v>202</v>
      </c>
      <c r="DN22" s="65">
        <v>0</v>
      </c>
    </row>
    <row r="23" spans="1:118" ht="12.75">
      <c r="A23" s="50" t="s">
        <v>15</v>
      </c>
      <c r="B23" s="39">
        <v>244</v>
      </c>
      <c r="C23" s="4">
        <v>781877</v>
      </c>
      <c r="D23" s="32">
        <v>3204.41</v>
      </c>
      <c r="E23" s="32">
        <v>89.66</v>
      </c>
      <c r="F23" s="8">
        <v>11</v>
      </c>
      <c r="G23" s="135">
        <f>(G43/($B$12+$B$14+$B$23)*$B$23)</f>
        <v>246107.32965779467</v>
      </c>
      <c r="H23" s="135">
        <f aca="true" t="shared" si="99" ref="H23:BU23">(H43/($B$12+$B$14+$B$23)*$B$23)</f>
        <v>40023.71197718631</v>
      </c>
      <c r="I23" s="135">
        <f t="shared" si="99"/>
        <v>8230.048098859315</v>
      </c>
      <c r="J23" s="135">
        <f t="shared" si="99"/>
        <v>0</v>
      </c>
      <c r="K23" s="135">
        <f t="shared" si="99"/>
        <v>28163.700000000004</v>
      </c>
      <c r="L23" s="135">
        <f t="shared" si="99"/>
        <v>0</v>
      </c>
      <c r="M23" s="41">
        <f t="shared" si="0"/>
        <v>28163.700000000004</v>
      </c>
      <c r="N23" s="135">
        <f t="shared" si="99"/>
        <v>0</v>
      </c>
      <c r="O23" s="135">
        <f t="shared" si="99"/>
        <v>67253.3813688213</v>
      </c>
      <c r="P23" s="135">
        <f t="shared" si="99"/>
        <v>0</v>
      </c>
      <c r="Q23" s="135">
        <f t="shared" si="99"/>
        <v>0</v>
      </c>
      <c r="R23" s="135">
        <f t="shared" si="99"/>
        <v>0</v>
      </c>
      <c r="S23" s="135">
        <f t="shared" si="99"/>
        <v>0</v>
      </c>
      <c r="T23" s="135">
        <f t="shared" si="99"/>
        <v>0</v>
      </c>
      <c r="U23" s="135">
        <f t="shared" si="99"/>
        <v>0</v>
      </c>
      <c r="V23" s="135">
        <f t="shared" si="99"/>
        <v>0</v>
      </c>
      <c r="W23" s="41">
        <f t="shared" si="63"/>
        <v>0</v>
      </c>
      <c r="X23" s="135">
        <f t="shared" si="99"/>
        <v>347.9087452471483</v>
      </c>
      <c r="Y23" s="41">
        <f>SUM(G23:X23)-M23-W23</f>
        <v>390126.0798479088</v>
      </c>
      <c r="Z23" s="135">
        <f t="shared" si="99"/>
        <v>111864.35133079848</v>
      </c>
      <c r="AA23" s="135">
        <f t="shared" si="99"/>
        <v>18204.673003802283</v>
      </c>
      <c r="AB23" s="135">
        <f t="shared" si="99"/>
        <v>0</v>
      </c>
      <c r="AC23" s="135">
        <f t="shared" si="99"/>
        <v>7061.840114068441</v>
      </c>
      <c r="AD23" s="135">
        <f t="shared" si="99"/>
        <v>0</v>
      </c>
      <c r="AE23" s="41">
        <f t="shared" si="65"/>
        <v>137130.8644486692</v>
      </c>
      <c r="AF23" s="135">
        <f t="shared" si="99"/>
        <v>0</v>
      </c>
      <c r="AG23" s="135">
        <f t="shared" si="99"/>
        <v>258.9600760456274</v>
      </c>
      <c r="AH23" s="135">
        <f t="shared" si="99"/>
        <v>0</v>
      </c>
      <c r="AI23" s="135">
        <f t="shared" si="99"/>
        <v>0</v>
      </c>
      <c r="AJ23" s="135">
        <f t="shared" si="99"/>
        <v>76406.51254752852</v>
      </c>
      <c r="AK23" s="135">
        <f t="shared" si="99"/>
        <v>0</v>
      </c>
      <c r="AL23" s="135">
        <f t="shared" si="99"/>
        <v>110884.31558935362</v>
      </c>
      <c r="AM23" s="135">
        <f t="shared" si="99"/>
        <v>0</v>
      </c>
      <c r="AN23" s="135">
        <f t="shared" si="99"/>
        <v>0</v>
      </c>
      <c r="AO23" s="135">
        <f t="shared" si="99"/>
        <v>0</v>
      </c>
      <c r="AP23" s="135">
        <f t="shared" si="99"/>
        <v>0</v>
      </c>
      <c r="AQ23" s="135">
        <f t="shared" si="99"/>
        <v>0</v>
      </c>
      <c r="AR23" s="135">
        <f t="shared" si="99"/>
        <v>0</v>
      </c>
      <c r="AS23" s="4">
        <f t="shared" si="66"/>
        <v>0</v>
      </c>
      <c r="AT23" s="135">
        <f t="shared" si="99"/>
        <v>347.9087452471483</v>
      </c>
      <c r="AU23" s="4">
        <f t="shared" si="67"/>
        <v>325028.5614068442</v>
      </c>
      <c r="AV23" s="135">
        <f t="shared" si="99"/>
        <v>0</v>
      </c>
      <c r="AW23" s="135">
        <f t="shared" si="99"/>
        <v>65097.51844106464</v>
      </c>
      <c r="AX23" s="4">
        <f t="shared" si="68"/>
        <v>0</v>
      </c>
      <c r="AY23" s="135">
        <f t="shared" si="99"/>
        <v>0</v>
      </c>
      <c r="AZ23" s="135">
        <f t="shared" si="99"/>
        <v>178692.55342205323</v>
      </c>
      <c r="BA23" s="135">
        <f t="shared" si="99"/>
        <v>0</v>
      </c>
      <c r="BB23" s="135">
        <f t="shared" si="99"/>
        <v>0</v>
      </c>
      <c r="BC23" s="135">
        <f t="shared" si="99"/>
        <v>0</v>
      </c>
      <c r="BD23" s="135">
        <f t="shared" si="99"/>
        <v>81178.7072243346</v>
      </c>
      <c r="BE23" s="135">
        <f t="shared" si="99"/>
        <v>0</v>
      </c>
      <c r="BF23" s="41">
        <f t="shared" si="69"/>
        <v>259871.26064638782</v>
      </c>
      <c r="BG23" s="135">
        <f t="shared" si="99"/>
        <v>0</v>
      </c>
      <c r="BH23" s="135">
        <f t="shared" si="99"/>
        <v>0</v>
      </c>
      <c r="BI23" s="135">
        <f t="shared" si="99"/>
        <v>0</v>
      </c>
      <c r="BJ23" s="135">
        <f t="shared" si="99"/>
        <v>0</v>
      </c>
      <c r="BK23" s="135">
        <f t="shared" si="99"/>
        <v>0</v>
      </c>
      <c r="BL23" s="135">
        <f t="shared" si="99"/>
        <v>0</v>
      </c>
      <c r="BM23" s="135">
        <f t="shared" si="99"/>
        <v>147304.66711026613</v>
      </c>
      <c r="BN23" s="135">
        <f t="shared" si="99"/>
        <v>81178.7072243346</v>
      </c>
      <c r="BO23" s="41">
        <f t="shared" si="70"/>
        <v>228483.37433460075</v>
      </c>
      <c r="BP23" s="135">
        <f t="shared" si="99"/>
        <v>147304.66711026613</v>
      </c>
      <c r="BQ23" s="135">
        <f t="shared" si="99"/>
        <v>0</v>
      </c>
      <c r="BR23" s="135">
        <f t="shared" si="99"/>
        <v>178692.55342205323</v>
      </c>
      <c r="BS23" s="41">
        <f t="shared" si="71"/>
        <v>0</v>
      </c>
      <c r="BT23" s="135">
        <f t="shared" si="99"/>
        <v>282942.6783269962</v>
      </c>
      <c r="BU23" s="135">
        <f t="shared" si="99"/>
        <v>172331.95817490495</v>
      </c>
      <c r="BV23" s="135">
        <f aca="true" t="shared" si="100" ref="BV23:CA23">(BV43/($B$12+$B$14+$B$23)*$B$23)</f>
        <v>0</v>
      </c>
      <c r="BW23" s="135">
        <f t="shared" si="100"/>
        <v>18404.001520912545</v>
      </c>
      <c r="BX23" s="4">
        <f t="shared" si="72"/>
        <v>473678.6380228138</v>
      </c>
      <c r="BY23" s="135">
        <f t="shared" si="100"/>
        <v>473678.63802281365</v>
      </c>
      <c r="BZ23" s="135">
        <f t="shared" si="100"/>
        <v>0</v>
      </c>
      <c r="CA23" s="135">
        <f t="shared" si="100"/>
        <v>0</v>
      </c>
      <c r="CB23" s="4">
        <f t="shared" si="73"/>
        <v>473678.63802281365</v>
      </c>
      <c r="CC23" s="4">
        <f t="shared" si="74"/>
        <v>0</v>
      </c>
      <c r="CD23" s="70">
        <f t="shared" si="75"/>
        <v>-36933.818441064635</v>
      </c>
      <c r="CE23" s="72">
        <f t="shared" si="76"/>
        <v>-36933.818441064635</v>
      </c>
      <c r="CF23" s="72">
        <f t="shared" si="77"/>
        <v>31387.886311787093</v>
      </c>
      <c r="CG23" s="72">
        <f t="shared" si="35"/>
        <v>324680.652661597</v>
      </c>
      <c r="CH23" s="72">
        <f t="shared" si="78"/>
        <v>7971.088022813688</v>
      </c>
      <c r="CI23" s="35">
        <f t="shared" si="79"/>
        <v>36134.78802281369</v>
      </c>
      <c r="CJ23" s="57">
        <f t="shared" si="36"/>
        <v>-1.1766902069858358</v>
      </c>
      <c r="CK23" s="57">
        <f t="shared" si="37"/>
        <v>-1.1766902069858358</v>
      </c>
      <c r="CL23" s="148">
        <f t="shared" si="38"/>
        <v>-0.11375429406802207</v>
      </c>
      <c r="CM23" s="148">
        <f t="shared" si="39"/>
        <v>-0.11375429406802207</v>
      </c>
      <c r="CN23" s="148">
        <f t="shared" si="40"/>
        <v>0.024550548230915587</v>
      </c>
      <c r="CO23" s="148">
        <f t="shared" si="41"/>
        <v>0.11129332076486764</v>
      </c>
      <c r="CP23" s="148">
        <f t="shared" si="42"/>
        <v>0.14047037355507738</v>
      </c>
      <c r="CQ23" s="148">
        <f t="shared" si="43"/>
        <v>0.14047037355507738</v>
      </c>
      <c r="CR23" s="149">
        <f t="shared" si="44"/>
        <v>5.164263207720458</v>
      </c>
      <c r="CS23" s="72">
        <f t="shared" si="45"/>
        <v>-190735.95969581744</v>
      </c>
      <c r="CT23" s="76">
        <f t="shared" si="80"/>
        <v>361962.3798479088</v>
      </c>
      <c r="CU23" s="76">
        <f t="shared" si="81"/>
        <v>325028.5614068442</v>
      </c>
      <c r="CV23" s="76">
        <f t="shared" si="82"/>
        <v>-36933.81844106462</v>
      </c>
      <c r="CW23" s="76">
        <f t="shared" si="83"/>
        <v>0</v>
      </c>
      <c r="CX23" s="76">
        <f t="shared" si="84"/>
        <v>-36933.81844106462</v>
      </c>
      <c r="CY23" s="76">
        <f t="shared" si="85"/>
        <v>-65097.518441064625</v>
      </c>
      <c r="CZ23" s="76">
        <f t="shared" si="86"/>
        <v>31387.886311787093</v>
      </c>
      <c r="DA23" s="76">
        <f t="shared" si="87"/>
        <v>28163.700000000004</v>
      </c>
      <c r="DB23" s="76">
        <f t="shared" si="88"/>
        <v>-68321.70475285171</v>
      </c>
      <c r="DC23" s="76">
        <f t="shared" si="89"/>
        <v>-175468.36711026615</v>
      </c>
      <c r="DD23" s="76">
        <f t="shared" si="90"/>
        <v>-65097.51844106463</v>
      </c>
      <c r="DE23" s="76">
        <f t="shared" si="91"/>
        <v>130069.02433460076</v>
      </c>
      <c r="DF23" s="76">
        <f t="shared" si="92"/>
        <v>-781.7047528517109</v>
      </c>
      <c r="DG23" s="76">
        <f t="shared" si="93"/>
        <v>32.66839353612168</v>
      </c>
      <c r="DH23" s="76">
        <f t="shared" si="94"/>
        <v>533.0697718631179</v>
      </c>
      <c r="DI23" s="77">
        <f t="shared" si="95"/>
        <v>128.6388783269963</v>
      </c>
      <c r="DJ23" s="72">
        <f t="shared" si="96"/>
        <v>-280.00698669201523</v>
      </c>
      <c r="DK23" s="151">
        <f t="shared" si="46"/>
        <v>-190735.9596958175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4">
        <v>3701</v>
      </c>
      <c r="C24" s="36">
        <v>13322379</v>
      </c>
      <c r="D24" s="37">
        <v>3599.67</v>
      </c>
      <c r="E24" s="37">
        <v>100.72</v>
      </c>
      <c r="F24" s="124">
        <v>14</v>
      </c>
      <c r="G24" s="130">
        <v>5512563.4</v>
      </c>
      <c r="H24" s="40">
        <v>902116.92</v>
      </c>
      <c r="I24" s="40">
        <v>250230.15</v>
      </c>
      <c r="J24" s="40">
        <v>0</v>
      </c>
      <c r="K24" s="40">
        <v>452000</v>
      </c>
      <c r="L24" s="40">
        <v>0</v>
      </c>
      <c r="M24" s="41">
        <f t="shared" si="0"/>
        <v>452000</v>
      </c>
      <c r="N24" s="40">
        <v>0</v>
      </c>
      <c r="O24" s="40">
        <v>316002.2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63"/>
        <v>0</v>
      </c>
      <c r="X24" s="40">
        <v>812866.95</v>
      </c>
      <c r="Y24" s="41">
        <f t="shared" si="64"/>
        <v>8245779.620000001</v>
      </c>
      <c r="Z24" s="40">
        <v>1760443</v>
      </c>
      <c r="AA24" s="40">
        <v>277779.4</v>
      </c>
      <c r="AB24" s="40">
        <v>0</v>
      </c>
      <c r="AC24" s="40">
        <v>107114.05</v>
      </c>
      <c r="AD24" s="40">
        <v>0</v>
      </c>
      <c r="AE24" s="41">
        <f t="shared" si="65"/>
        <v>2145336.4499999997</v>
      </c>
      <c r="AF24" s="40">
        <v>0</v>
      </c>
      <c r="AG24" s="40">
        <v>41427.7</v>
      </c>
      <c r="AH24" s="40">
        <v>0</v>
      </c>
      <c r="AI24" s="40">
        <v>40549.6</v>
      </c>
      <c r="AJ24" s="40">
        <v>2303036.8</v>
      </c>
      <c r="AK24" s="40">
        <v>559946.1</v>
      </c>
      <c r="AL24" s="40">
        <v>2402371.75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4">
        <f t="shared" si="66"/>
        <v>0</v>
      </c>
      <c r="AT24" s="36">
        <v>812866.95</v>
      </c>
      <c r="AU24" s="4">
        <f t="shared" si="67"/>
        <v>8305535.349999998</v>
      </c>
      <c r="AV24" s="36">
        <v>59755.73</v>
      </c>
      <c r="AW24" s="36">
        <v>0</v>
      </c>
      <c r="AX24" s="153">
        <f t="shared" si="68"/>
        <v>3.281456883996725E-09</v>
      </c>
      <c r="AY24" s="40">
        <v>31050.1</v>
      </c>
      <c r="AZ24" s="40">
        <v>1089828.35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9"/>
        <v>1089828.35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1">
        <f t="shared" si="70"/>
        <v>0</v>
      </c>
      <c r="BP24" s="40">
        <v>0</v>
      </c>
      <c r="BQ24" s="40">
        <v>0</v>
      </c>
      <c r="BR24" s="40">
        <v>1089828.35</v>
      </c>
      <c r="BS24" s="155">
        <f t="shared" si="71"/>
        <v>0</v>
      </c>
      <c r="BT24" s="36">
        <v>2833113.13</v>
      </c>
      <c r="BU24" s="36">
        <v>6220794.1</v>
      </c>
      <c r="BV24" s="36">
        <v>0</v>
      </c>
      <c r="BW24" s="36">
        <v>0</v>
      </c>
      <c r="BX24" s="4">
        <f t="shared" si="72"/>
        <v>9053907.23</v>
      </c>
      <c r="BY24" s="36">
        <v>8435199.35</v>
      </c>
      <c r="BZ24" s="36">
        <v>62000</v>
      </c>
      <c r="CA24" s="36">
        <v>556707.88</v>
      </c>
      <c r="CB24" s="4">
        <f t="shared" si="73"/>
        <v>9053907.23</v>
      </c>
      <c r="CC24" s="153">
        <f t="shared" si="74"/>
        <v>0</v>
      </c>
      <c r="CD24" s="70">
        <f t="shared" si="75"/>
        <v>511755.73</v>
      </c>
      <c r="CE24" s="72">
        <f t="shared" si="76"/>
        <v>511755.73</v>
      </c>
      <c r="CF24" s="72">
        <f t="shared" si="77"/>
        <v>1089828.35</v>
      </c>
      <c r="CG24" s="72">
        <f t="shared" si="35"/>
        <v>7492668.399999998</v>
      </c>
      <c r="CH24" s="72">
        <f t="shared" si="78"/>
        <v>239852.55000000002</v>
      </c>
      <c r="CI24" s="35">
        <f t="shared" si="79"/>
        <v>691852.55</v>
      </c>
      <c r="CJ24" s="57">
        <f t="shared" si="36"/>
        <v>0.4695746169568813</v>
      </c>
      <c r="CK24" s="57">
        <f t="shared" si="37"/>
        <v>0.4695746169568813</v>
      </c>
      <c r="CL24" s="148">
        <f t="shared" si="38"/>
        <v>0.06830086461586905</v>
      </c>
      <c r="CM24" s="148">
        <f t="shared" si="39"/>
        <v>0.06830086461586905</v>
      </c>
      <c r="CN24" s="148">
        <f t="shared" si="40"/>
        <v>0.03201163286500175</v>
      </c>
      <c r="CO24" s="148">
        <f t="shared" si="41"/>
        <v>0.09233727065780734</v>
      </c>
      <c r="CP24" s="148">
        <f t="shared" si="42"/>
        <v>0.06773774122597309</v>
      </c>
      <c r="CQ24" s="148">
        <f t="shared" si="43"/>
        <v>0.06773774122597309</v>
      </c>
      <c r="CR24" s="149">
        <f t="shared" si="44"/>
        <v>-10.946797254229082</v>
      </c>
      <c r="CS24" s="72">
        <f t="shared" si="45"/>
        <v>-5602086.22</v>
      </c>
      <c r="CT24" s="76">
        <f t="shared" si="80"/>
        <v>7793779.620000001</v>
      </c>
      <c r="CU24" s="76">
        <f t="shared" si="81"/>
        <v>8305535.349999998</v>
      </c>
      <c r="CV24" s="76">
        <f t="shared" si="82"/>
        <v>511755.7299999967</v>
      </c>
      <c r="CW24" s="76">
        <f t="shared" si="83"/>
        <v>0</v>
      </c>
      <c r="CX24" s="76">
        <f t="shared" si="84"/>
        <v>511755.7299999967</v>
      </c>
      <c r="CY24" s="76">
        <f t="shared" si="85"/>
        <v>59755.72999999672</v>
      </c>
      <c r="CZ24" s="76">
        <f t="shared" si="86"/>
        <v>1089828.35</v>
      </c>
      <c r="DA24" s="76">
        <f t="shared" si="87"/>
        <v>452000</v>
      </c>
      <c r="DB24" s="76">
        <f t="shared" si="88"/>
        <v>-578072.6200000034</v>
      </c>
      <c r="DC24" s="76">
        <f t="shared" si="89"/>
        <v>-452000</v>
      </c>
      <c r="DD24" s="76">
        <f t="shared" si="90"/>
        <v>59755.72999999672</v>
      </c>
      <c r="DE24" s="76">
        <f t="shared" si="91"/>
        <v>2038222.4</v>
      </c>
      <c r="DF24" s="76">
        <f t="shared" si="92"/>
        <v>-1513.6682572277762</v>
      </c>
      <c r="DG24" s="76">
        <f t="shared" si="93"/>
        <v>64.80749797352067</v>
      </c>
      <c r="DH24" s="76">
        <f t="shared" si="94"/>
        <v>550.7220751148338</v>
      </c>
      <c r="DI24" s="77">
        <f t="shared" si="95"/>
        <v>294.4686165901108</v>
      </c>
      <c r="DJ24" s="72">
        <f t="shared" si="96"/>
        <v>-156.19362874898766</v>
      </c>
      <c r="DK24" s="151">
        <f t="shared" si="46"/>
        <v>-5664086.22</v>
      </c>
      <c r="DL24" s="136">
        <v>83</v>
      </c>
      <c r="DM24" s="136">
        <v>516</v>
      </c>
      <c r="DN24" s="65">
        <v>0</v>
      </c>
    </row>
    <row r="25" spans="1:118" ht="12.75">
      <c r="A25" s="50" t="s">
        <v>36</v>
      </c>
      <c r="B25" s="39">
        <v>1837</v>
      </c>
      <c r="C25" s="4">
        <v>5110413</v>
      </c>
      <c r="D25" s="32">
        <v>2781.93</v>
      </c>
      <c r="E25" s="32">
        <v>77.84</v>
      </c>
      <c r="F25" s="8">
        <v>13</v>
      </c>
      <c r="G25" s="129">
        <v>1526853.15</v>
      </c>
      <c r="H25" s="41">
        <v>207773.8</v>
      </c>
      <c r="I25" s="41">
        <v>31796.1</v>
      </c>
      <c r="J25" s="41">
        <v>0</v>
      </c>
      <c r="K25" s="41">
        <v>87000</v>
      </c>
      <c r="L25" s="41">
        <v>0</v>
      </c>
      <c r="M25" s="41">
        <f t="shared" si="0"/>
        <v>87000</v>
      </c>
      <c r="N25" s="41">
        <v>0</v>
      </c>
      <c r="O25" s="41">
        <v>460558.7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63"/>
        <v>0</v>
      </c>
      <c r="X25" s="41">
        <v>0</v>
      </c>
      <c r="Y25" s="41">
        <f t="shared" si="64"/>
        <v>2313981.75</v>
      </c>
      <c r="Z25" s="41">
        <v>674906.2</v>
      </c>
      <c r="AA25" s="41">
        <v>20596.4</v>
      </c>
      <c r="AB25" s="41">
        <v>0</v>
      </c>
      <c r="AC25" s="41">
        <v>53166.3</v>
      </c>
      <c r="AD25" s="41">
        <v>0</v>
      </c>
      <c r="AE25" s="41">
        <f t="shared" si="65"/>
        <v>748668.9</v>
      </c>
      <c r="AF25" s="41">
        <v>0</v>
      </c>
      <c r="AG25" s="41">
        <v>150.4</v>
      </c>
      <c r="AH25" s="41">
        <v>0</v>
      </c>
      <c r="AI25" s="41">
        <v>28881.9</v>
      </c>
      <c r="AJ25" s="41">
        <v>770759.2</v>
      </c>
      <c r="AK25" s="41">
        <v>19185.85</v>
      </c>
      <c r="AL25" s="41">
        <v>652671.05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6"/>
        <v>0</v>
      </c>
      <c r="AT25" s="4">
        <v>0</v>
      </c>
      <c r="AU25" s="4">
        <f t="shared" si="67"/>
        <v>2220317.3000000003</v>
      </c>
      <c r="AV25" s="4">
        <v>0</v>
      </c>
      <c r="AW25" s="4">
        <v>93664.45</v>
      </c>
      <c r="AX25" s="153">
        <f t="shared" si="68"/>
        <v>-2.764863893389702E-10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9"/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f t="shared" si="70"/>
        <v>0</v>
      </c>
      <c r="BP25" s="41">
        <v>0</v>
      </c>
      <c r="BQ25" s="41">
        <v>0</v>
      </c>
      <c r="BR25" s="41">
        <v>0</v>
      </c>
      <c r="BS25" s="41">
        <f t="shared" si="71"/>
        <v>0</v>
      </c>
      <c r="BT25" s="4">
        <v>806675.5</v>
      </c>
      <c r="BU25" s="4">
        <v>903325</v>
      </c>
      <c r="BV25" s="4">
        <v>0</v>
      </c>
      <c r="BW25" s="4">
        <v>93664.45</v>
      </c>
      <c r="BX25" s="4">
        <f t="shared" si="72"/>
        <v>1803664.95</v>
      </c>
      <c r="BY25" s="4">
        <v>1803664.95</v>
      </c>
      <c r="BZ25" s="4">
        <v>0</v>
      </c>
      <c r="CA25" s="4">
        <v>0</v>
      </c>
      <c r="CB25" s="4">
        <f t="shared" si="73"/>
        <v>1803664.95</v>
      </c>
      <c r="CC25" s="153">
        <f t="shared" si="74"/>
        <v>0</v>
      </c>
      <c r="CD25" s="70">
        <f t="shared" si="75"/>
        <v>-6664.449999999997</v>
      </c>
      <c r="CE25" s="72">
        <f t="shared" si="76"/>
        <v>-6664.449999999997</v>
      </c>
      <c r="CF25" s="72">
        <f t="shared" si="77"/>
        <v>0</v>
      </c>
      <c r="CG25" s="72">
        <f t="shared" si="35"/>
        <v>2220317.3000000003</v>
      </c>
      <c r="CH25" s="72">
        <f t="shared" si="78"/>
        <v>31645.699999999997</v>
      </c>
      <c r="CI25" s="35">
        <f t="shared" si="79"/>
        <v>118645.7</v>
      </c>
      <c r="CJ25" s="57" t="str">
        <f t="shared" si="36"/>
        <v>-</v>
      </c>
      <c r="CK25" s="57" t="str">
        <f t="shared" si="37"/>
        <v>-</v>
      </c>
      <c r="CL25" s="148">
        <f t="shared" si="38"/>
        <v>-0.003001575495538406</v>
      </c>
      <c r="CM25" s="148">
        <f t="shared" si="39"/>
        <v>-0.003001575495538406</v>
      </c>
      <c r="CN25" s="148">
        <f t="shared" si="40"/>
        <v>0.014252782699121424</v>
      </c>
      <c r="CO25" s="148">
        <f t="shared" si="41"/>
        <v>0.05343637145916036</v>
      </c>
      <c r="CP25" s="148">
        <f t="shared" si="42"/>
        <v>0.0878499482493121</v>
      </c>
      <c r="CQ25" s="148">
        <f t="shared" si="43"/>
        <v>0.0878499482493121</v>
      </c>
      <c r="CR25" s="149">
        <f t="shared" si="44"/>
        <v>149.59815888783027</v>
      </c>
      <c r="CS25" s="72">
        <f t="shared" si="45"/>
        <v>-996989.45</v>
      </c>
      <c r="CT25" s="76">
        <f t="shared" si="80"/>
        <v>2226981.75</v>
      </c>
      <c r="CU25" s="76">
        <f t="shared" si="81"/>
        <v>2220317.3000000003</v>
      </c>
      <c r="CV25" s="76">
        <f t="shared" si="82"/>
        <v>-6664.449999999721</v>
      </c>
      <c r="CW25" s="76">
        <f t="shared" si="83"/>
        <v>0</v>
      </c>
      <c r="CX25" s="76">
        <f t="shared" si="84"/>
        <v>-6664.449999999721</v>
      </c>
      <c r="CY25" s="76">
        <f t="shared" si="85"/>
        <v>-93664.44999999972</v>
      </c>
      <c r="CZ25" s="76">
        <f t="shared" si="86"/>
        <v>0</v>
      </c>
      <c r="DA25" s="76">
        <f t="shared" si="87"/>
        <v>87000</v>
      </c>
      <c r="DB25" s="76">
        <f t="shared" si="88"/>
        <v>-6664.449999999721</v>
      </c>
      <c r="DC25" s="76">
        <f t="shared" si="89"/>
        <v>-87000</v>
      </c>
      <c r="DD25" s="76">
        <f t="shared" si="90"/>
        <v>-93664.44999999972</v>
      </c>
      <c r="DE25" s="76">
        <f t="shared" si="91"/>
        <v>695502.6</v>
      </c>
      <c r="DF25" s="76">
        <f t="shared" si="92"/>
        <v>-542.7269733260752</v>
      </c>
      <c r="DG25" s="76">
        <f t="shared" si="93"/>
        <v>17.226837234621666</v>
      </c>
      <c r="DH25" s="76">
        <f t="shared" si="94"/>
        <v>378.60783886771907</v>
      </c>
      <c r="DI25" s="77">
        <f t="shared" si="95"/>
        <v>0</v>
      </c>
      <c r="DJ25" s="72">
        <f t="shared" si="96"/>
        <v>-3.627898747958476</v>
      </c>
      <c r="DK25" s="151">
        <f t="shared" si="46"/>
        <v>-996989.45</v>
      </c>
      <c r="DL25" s="72">
        <v>37</v>
      </c>
      <c r="DM25" s="72">
        <v>167</v>
      </c>
      <c r="DN25" s="63">
        <v>0</v>
      </c>
    </row>
    <row r="26" spans="1:118" ht="12.75">
      <c r="A26" s="49" t="s">
        <v>17</v>
      </c>
      <c r="B26" s="44">
        <v>447</v>
      </c>
      <c r="C26" s="36">
        <v>1269466</v>
      </c>
      <c r="D26" s="37">
        <v>2839.97</v>
      </c>
      <c r="E26" s="37">
        <v>79.46</v>
      </c>
      <c r="F26" s="124">
        <v>10</v>
      </c>
      <c r="G26" s="130">
        <v>462993.5</v>
      </c>
      <c r="H26" s="40">
        <v>89339.3</v>
      </c>
      <c r="I26" s="40">
        <v>5845.05</v>
      </c>
      <c r="J26" s="40">
        <v>0</v>
      </c>
      <c r="K26" s="40">
        <v>80210.9</v>
      </c>
      <c r="L26" s="40">
        <v>0</v>
      </c>
      <c r="M26" s="41">
        <f t="shared" si="0"/>
        <v>80210.9</v>
      </c>
      <c r="N26" s="40">
        <v>0</v>
      </c>
      <c r="O26" s="40">
        <v>97769.45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63"/>
        <v>0</v>
      </c>
      <c r="X26" s="40">
        <v>0</v>
      </c>
      <c r="Y26" s="41">
        <f t="shared" si="64"/>
        <v>736158.2000000001</v>
      </c>
      <c r="Z26" s="40">
        <v>144851.8</v>
      </c>
      <c r="AA26" s="40">
        <v>3569.85</v>
      </c>
      <c r="AB26" s="40">
        <v>0</v>
      </c>
      <c r="AC26" s="40">
        <v>12937.05</v>
      </c>
      <c r="AD26" s="40">
        <v>0</v>
      </c>
      <c r="AE26" s="41">
        <f t="shared" si="65"/>
        <v>161358.69999999998</v>
      </c>
      <c r="AF26" s="40">
        <v>0</v>
      </c>
      <c r="AG26" s="40">
        <v>0</v>
      </c>
      <c r="AH26" s="40">
        <v>0</v>
      </c>
      <c r="AI26" s="40">
        <v>904</v>
      </c>
      <c r="AJ26" s="40">
        <v>210382.5</v>
      </c>
      <c r="AK26" s="40">
        <v>27278.9</v>
      </c>
      <c r="AL26" s="40">
        <v>197305.1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6"/>
        <v>0</v>
      </c>
      <c r="AT26" s="36">
        <v>0</v>
      </c>
      <c r="AU26" s="4">
        <f t="shared" si="67"/>
        <v>597229.2</v>
      </c>
      <c r="AV26" s="36">
        <v>0</v>
      </c>
      <c r="AW26" s="36">
        <v>138929</v>
      </c>
      <c r="AX26" s="153">
        <f t="shared" si="68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9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70"/>
        <v>0</v>
      </c>
      <c r="BP26" s="40">
        <v>0</v>
      </c>
      <c r="BQ26" s="40">
        <v>0</v>
      </c>
      <c r="BR26" s="40">
        <v>0</v>
      </c>
      <c r="BS26" s="41">
        <f t="shared" si="71"/>
        <v>0</v>
      </c>
      <c r="BT26" s="36">
        <v>76125.9</v>
      </c>
      <c r="BU26" s="36">
        <v>282201</v>
      </c>
      <c r="BV26" s="36">
        <v>0</v>
      </c>
      <c r="BW26" s="36">
        <v>155464.41</v>
      </c>
      <c r="BX26" s="4">
        <f t="shared" si="72"/>
        <v>513791.31000000006</v>
      </c>
      <c r="BY26" s="36">
        <v>513791.31</v>
      </c>
      <c r="BZ26" s="36">
        <v>0</v>
      </c>
      <c r="CA26" s="36">
        <v>0</v>
      </c>
      <c r="CB26" s="4">
        <f t="shared" si="73"/>
        <v>513791.31</v>
      </c>
      <c r="CC26" s="4">
        <f t="shared" si="74"/>
        <v>0</v>
      </c>
      <c r="CD26" s="70">
        <f t="shared" si="75"/>
        <v>-58718.100000000006</v>
      </c>
      <c r="CE26" s="72">
        <f t="shared" si="76"/>
        <v>-58718.100000000006</v>
      </c>
      <c r="CF26" s="72">
        <f t="shared" si="77"/>
        <v>0</v>
      </c>
      <c r="CG26" s="72">
        <f t="shared" si="35"/>
        <v>597229.2</v>
      </c>
      <c r="CH26" s="72">
        <f t="shared" si="78"/>
        <v>5845.05</v>
      </c>
      <c r="CI26" s="35">
        <f t="shared" si="79"/>
        <v>86055.95</v>
      </c>
      <c r="CJ26" s="57" t="str">
        <f t="shared" si="36"/>
        <v>-</v>
      </c>
      <c r="CK26" s="57" t="str">
        <f t="shared" si="37"/>
        <v>-</v>
      </c>
      <c r="CL26" s="148">
        <f t="shared" si="38"/>
        <v>-0.09831753035518025</v>
      </c>
      <c r="CM26" s="148">
        <f t="shared" si="39"/>
        <v>-0.09831753035518025</v>
      </c>
      <c r="CN26" s="148">
        <f t="shared" si="40"/>
        <v>0.009786946117169088</v>
      </c>
      <c r="CO26" s="148">
        <f t="shared" si="41"/>
        <v>0.14409200019021173</v>
      </c>
      <c r="CP26" s="148">
        <f t="shared" si="42"/>
        <v>0.22132523794058637</v>
      </c>
      <c r="CQ26" s="148">
        <f t="shared" si="43"/>
        <v>0.22132523794058637</v>
      </c>
      <c r="CR26" s="149">
        <f t="shared" si="44"/>
        <v>7.453671184864633</v>
      </c>
      <c r="CS26" s="72">
        <f t="shared" si="45"/>
        <v>-437665.41000000003</v>
      </c>
      <c r="CT26" s="76">
        <f t="shared" si="80"/>
        <v>655947.3</v>
      </c>
      <c r="CU26" s="76">
        <f t="shared" si="81"/>
        <v>597229.2</v>
      </c>
      <c r="CV26" s="76">
        <f t="shared" si="82"/>
        <v>-58718.10000000009</v>
      </c>
      <c r="CW26" s="76">
        <f t="shared" si="83"/>
        <v>0</v>
      </c>
      <c r="CX26" s="76">
        <f t="shared" si="84"/>
        <v>-58718.10000000009</v>
      </c>
      <c r="CY26" s="76">
        <f t="shared" si="85"/>
        <v>-138929.0000000001</v>
      </c>
      <c r="CZ26" s="76">
        <f t="shared" si="86"/>
        <v>0</v>
      </c>
      <c r="DA26" s="76">
        <f t="shared" si="87"/>
        <v>80210.9</v>
      </c>
      <c r="DB26" s="76">
        <f t="shared" si="88"/>
        <v>-58718.10000000009</v>
      </c>
      <c r="DC26" s="76">
        <f t="shared" si="89"/>
        <v>-80210.9</v>
      </c>
      <c r="DD26" s="76">
        <f t="shared" si="90"/>
        <v>-138929.0000000001</v>
      </c>
      <c r="DE26" s="76">
        <f t="shared" si="91"/>
        <v>148421.65</v>
      </c>
      <c r="DF26" s="76">
        <f t="shared" si="92"/>
        <v>-979.1172483221477</v>
      </c>
      <c r="DG26" s="76">
        <f t="shared" si="93"/>
        <v>13.076174496644295</v>
      </c>
      <c r="DH26" s="76">
        <f t="shared" si="94"/>
        <v>332.03948545861294</v>
      </c>
      <c r="DI26" s="77">
        <f t="shared" si="95"/>
        <v>0</v>
      </c>
      <c r="DJ26" s="72">
        <f t="shared" si="96"/>
        <v>-131.36040268456398</v>
      </c>
      <c r="DK26" s="151">
        <f t="shared" si="46"/>
        <v>-437665.41000000003</v>
      </c>
      <c r="DL26" s="136">
        <v>8</v>
      </c>
      <c r="DM26" s="136">
        <v>53</v>
      </c>
      <c r="DN26" s="65">
        <v>0</v>
      </c>
    </row>
    <row r="27" spans="1:118" ht="12.75">
      <c r="A27" s="50" t="s">
        <v>18</v>
      </c>
      <c r="B27" s="39">
        <v>643</v>
      </c>
      <c r="C27" s="4">
        <v>1886492</v>
      </c>
      <c r="D27" s="32">
        <v>2933.89</v>
      </c>
      <c r="E27" s="32">
        <v>82.09</v>
      </c>
      <c r="F27" s="8">
        <v>14</v>
      </c>
      <c r="G27" s="129">
        <f>(G42/($B$11+$B$27)*$B$27)</f>
        <v>501670.0674061705</v>
      </c>
      <c r="H27" s="129">
        <f aca="true" t="shared" si="101" ref="H27:BU27">(H42/($B$11+$B$27)*$B$27)</f>
        <v>93776.6876192748</v>
      </c>
      <c r="I27" s="129">
        <f t="shared" si="101"/>
        <v>26343.151669847328</v>
      </c>
      <c r="J27" s="129">
        <f t="shared" si="101"/>
        <v>0</v>
      </c>
      <c r="K27" s="129">
        <f t="shared" si="101"/>
        <v>71292.22619274809</v>
      </c>
      <c r="L27" s="129">
        <f t="shared" si="101"/>
        <v>44087.1855836514</v>
      </c>
      <c r="M27" s="41">
        <f t="shared" si="0"/>
        <v>115379.41177639949</v>
      </c>
      <c r="N27" s="129">
        <f t="shared" si="101"/>
        <v>0</v>
      </c>
      <c r="O27" s="129">
        <f t="shared" si="101"/>
        <v>172214.93644243001</v>
      </c>
      <c r="P27" s="129">
        <f t="shared" si="101"/>
        <v>0</v>
      </c>
      <c r="Q27" s="129">
        <f t="shared" si="101"/>
        <v>0</v>
      </c>
      <c r="R27" s="129">
        <f t="shared" si="101"/>
        <v>0</v>
      </c>
      <c r="S27" s="129">
        <f t="shared" si="101"/>
        <v>0</v>
      </c>
      <c r="T27" s="129">
        <f t="shared" si="101"/>
        <v>0</v>
      </c>
      <c r="U27" s="129">
        <f t="shared" si="101"/>
        <v>0</v>
      </c>
      <c r="V27" s="129">
        <f t="shared" si="101"/>
        <v>0</v>
      </c>
      <c r="W27" s="41">
        <f t="shared" si="63"/>
        <v>0</v>
      </c>
      <c r="X27" s="129">
        <f t="shared" si="101"/>
        <v>0</v>
      </c>
      <c r="Y27" s="41">
        <f t="shared" si="64"/>
        <v>909384.254914122</v>
      </c>
      <c r="Z27" s="129">
        <f t="shared" si="101"/>
        <v>375287.1800811069</v>
      </c>
      <c r="AA27" s="129">
        <f t="shared" si="101"/>
        <v>35932.149928435116</v>
      </c>
      <c r="AB27" s="129">
        <f t="shared" si="101"/>
        <v>0</v>
      </c>
      <c r="AC27" s="129">
        <f t="shared" si="101"/>
        <v>18609.650166984735</v>
      </c>
      <c r="AD27" s="129">
        <f t="shared" si="101"/>
        <v>0</v>
      </c>
      <c r="AE27" s="41">
        <f t="shared" si="65"/>
        <v>429828.9801765267</v>
      </c>
      <c r="AF27" s="129">
        <f t="shared" si="101"/>
        <v>0</v>
      </c>
      <c r="AG27" s="129">
        <f t="shared" si="101"/>
        <v>53693.8591841603</v>
      </c>
      <c r="AH27" s="129">
        <f t="shared" si="101"/>
        <v>0</v>
      </c>
      <c r="AI27" s="129">
        <f t="shared" si="101"/>
        <v>19496.556591921122</v>
      </c>
      <c r="AJ27" s="129">
        <f t="shared" si="101"/>
        <v>189392.85323632314</v>
      </c>
      <c r="AK27" s="129">
        <f t="shared" si="101"/>
        <v>6657.775182888041</v>
      </c>
      <c r="AL27" s="129">
        <f t="shared" si="101"/>
        <v>200821.4675413486</v>
      </c>
      <c r="AM27" s="129">
        <f t="shared" si="101"/>
        <v>0</v>
      </c>
      <c r="AN27" s="129">
        <f t="shared" si="101"/>
        <v>0</v>
      </c>
      <c r="AO27" s="129">
        <f t="shared" si="101"/>
        <v>0</v>
      </c>
      <c r="AP27" s="129">
        <f t="shared" si="101"/>
        <v>0</v>
      </c>
      <c r="AQ27" s="129">
        <f t="shared" si="101"/>
        <v>0</v>
      </c>
      <c r="AR27" s="129">
        <f t="shared" si="101"/>
        <v>0</v>
      </c>
      <c r="AS27" s="4">
        <f t="shared" si="66"/>
        <v>0</v>
      </c>
      <c r="AT27" s="129">
        <f t="shared" si="101"/>
        <v>8820.3893129771</v>
      </c>
      <c r="AU27" s="4">
        <f t="shared" si="67"/>
        <v>908711.8812261453</v>
      </c>
      <c r="AV27" s="129">
        <f t="shared" si="101"/>
        <v>0</v>
      </c>
      <c r="AW27" s="129">
        <f t="shared" si="101"/>
        <v>672.3736879770993</v>
      </c>
      <c r="AX27" s="4">
        <f t="shared" si="68"/>
        <v>-3.608420229284093E-10</v>
      </c>
      <c r="AY27" s="129">
        <f t="shared" si="101"/>
        <v>1640.2021946564885</v>
      </c>
      <c r="AZ27" s="129">
        <f t="shared" si="101"/>
        <v>0</v>
      </c>
      <c r="BA27" s="129">
        <f t="shared" si="101"/>
        <v>0</v>
      </c>
      <c r="BB27" s="129">
        <f t="shared" si="101"/>
        <v>0</v>
      </c>
      <c r="BC27" s="129">
        <f t="shared" si="101"/>
        <v>0</v>
      </c>
      <c r="BD27" s="129">
        <f t="shared" si="101"/>
        <v>0</v>
      </c>
      <c r="BE27" s="129">
        <f t="shared" si="101"/>
        <v>0</v>
      </c>
      <c r="BF27" s="41">
        <f t="shared" si="69"/>
        <v>0</v>
      </c>
      <c r="BG27" s="129">
        <f t="shared" si="101"/>
        <v>0</v>
      </c>
      <c r="BH27" s="129">
        <f t="shared" si="101"/>
        <v>0</v>
      </c>
      <c r="BI27" s="129">
        <f t="shared" si="101"/>
        <v>0</v>
      </c>
      <c r="BJ27" s="129">
        <f t="shared" si="101"/>
        <v>0</v>
      </c>
      <c r="BK27" s="129">
        <f t="shared" si="101"/>
        <v>0</v>
      </c>
      <c r="BL27" s="129">
        <f t="shared" si="101"/>
        <v>0</v>
      </c>
      <c r="BM27" s="129">
        <f t="shared" si="101"/>
        <v>0</v>
      </c>
      <c r="BN27" s="129">
        <f t="shared" si="101"/>
        <v>0</v>
      </c>
      <c r="BO27" s="41">
        <f t="shared" si="70"/>
        <v>0</v>
      </c>
      <c r="BP27" s="129">
        <f t="shared" si="101"/>
        <v>0</v>
      </c>
      <c r="BQ27" s="129">
        <f t="shared" si="101"/>
        <v>0</v>
      </c>
      <c r="BR27" s="129">
        <f t="shared" si="101"/>
        <v>0</v>
      </c>
      <c r="BS27" s="41">
        <f t="shared" si="71"/>
        <v>0</v>
      </c>
      <c r="BT27" s="129">
        <f t="shared" si="101"/>
        <v>420596.95531170483</v>
      </c>
      <c r="BU27" s="129">
        <f t="shared" si="101"/>
        <v>664423.4142811705</v>
      </c>
      <c r="BV27" s="129">
        <f aca="true" t="shared" si="102" ref="BV27:CA27">(BV42/($B$11+$B$27)*$B$27)</f>
        <v>0</v>
      </c>
      <c r="BW27" s="129">
        <f t="shared" si="102"/>
        <v>0</v>
      </c>
      <c r="BX27" s="4">
        <f t="shared" si="72"/>
        <v>1085020.3695928752</v>
      </c>
      <c r="BY27" s="129">
        <f t="shared" si="102"/>
        <v>1036911.4480677482</v>
      </c>
      <c r="BZ27" s="129">
        <f t="shared" si="102"/>
        <v>0</v>
      </c>
      <c r="CA27" s="129">
        <f t="shared" si="102"/>
        <v>48108.921525127225</v>
      </c>
      <c r="CB27" s="4">
        <f t="shared" si="73"/>
        <v>1085020.3695928755</v>
      </c>
      <c r="CC27" s="4">
        <f t="shared" si="74"/>
        <v>0</v>
      </c>
      <c r="CD27" s="70">
        <f t="shared" si="75"/>
        <v>114707.03808842239</v>
      </c>
      <c r="CE27" s="72">
        <f t="shared" si="76"/>
        <v>114707.03808842239</v>
      </c>
      <c r="CF27" s="72">
        <f t="shared" si="77"/>
        <v>0</v>
      </c>
      <c r="CG27" s="72">
        <f t="shared" si="35"/>
        <v>899891.4919131682</v>
      </c>
      <c r="CH27" s="72">
        <f t="shared" si="78"/>
        <v>-25710.50531965648</v>
      </c>
      <c r="CI27" s="35">
        <f t="shared" si="79"/>
        <v>45581.7208730916</v>
      </c>
      <c r="CJ27" s="57" t="str">
        <f t="shared" si="36"/>
        <v>-</v>
      </c>
      <c r="CK27" s="57" t="str">
        <f t="shared" si="37"/>
        <v>-</v>
      </c>
      <c r="CL27" s="148">
        <f t="shared" si="38"/>
        <v>0.12746763261930097</v>
      </c>
      <c r="CM27" s="148">
        <f t="shared" si="39"/>
        <v>0.12746763261930097</v>
      </c>
      <c r="CN27" s="148">
        <f t="shared" si="40"/>
        <v>-0.0285706727429948</v>
      </c>
      <c r="CO27" s="148">
        <f t="shared" si="41"/>
        <v>0.050652463416655844</v>
      </c>
      <c r="CP27" s="148">
        <f t="shared" si="42"/>
        <v>0.14795972510092115</v>
      </c>
      <c r="CQ27" s="148">
        <f t="shared" si="43"/>
        <v>0.09142340064754376</v>
      </c>
      <c r="CR27" s="149">
        <f t="shared" si="44"/>
        <v>-5.3729440061119424</v>
      </c>
      <c r="CS27" s="72">
        <f t="shared" si="45"/>
        <v>-616314.4927560433</v>
      </c>
      <c r="CT27" s="76">
        <f t="shared" si="80"/>
        <v>794004.8431377226</v>
      </c>
      <c r="CU27" s="76">
        <f t="shared" si="81"/>
        <v>908711.8812261453</v>
      </c>
      <c r="CV27" s="76">
        <f t="shared" si="82"/>
        <v>114707.03808842273</v>
      </c>
      <c r="CW27" s="76">
        <f t="shared" si="83"/>
        <v>0</v>
      </c>
      <c r="CX27" s="76">
        <f t="shared" si="84"/>
        <v>114707.03808842273</v>
      </c>
      <c r="CY27" s="76">
        <f t="shared" si="85"/>
        <v>-672.373687976753</v>
      </c>
      <c r="CZ27" s="76">
        <f t="shared" si="86"/>
        <v>0</v>
      </c>
      <c r="DA27" s="76">
        <f t="shared" si="87"/>
        <v>115379.41177639949</v>
      </c>
      <c r="DB27" s="76">
        <f t="shared" si="88"/>
        <v>114707.03808842273</v>
      </c>
      <c r="DC27" s="76">
        <f t="shared" si="89"/>
        <v>-115379.41177639949</v>
      </c>
      <c r="DD27" s="76">
        <f t="shared" si="90"/>
        <v>-672.373687976753</v>
      </c>
      <c r="DE27" s="76">
        <f t="shared" si="91"/>
        <v>411219.330009542</v>
      </c>
      <c r="DF27" s="76">
        <f t="shared" si="92"/>
        <v>-958.4984335241732</v>
      </c>
      <c r="DG27" s="76">
        <f t="shared" si="93"/>
        <v>-39.98523377862594</v>
      </c>
      <c r="DH27" s="76">
        <f t="shared" si="94"/>
        <v>639.5323950381679</v>
      </c>
      <c r="DI27" s="77">
        <f t="shared" si="95"/>
        <v>0</v>
      </c>
      <c r="DJ27" s="72">
        <f t="shared" si="96"/>
        <v>178.3935273536901</v>
      </c>
      <c r="DK27" s="151">
        <f t="shared" si="46"/>
        <v>-616314.4927560432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4">
        <v>422</v>
      </c>
      <c r="C28" s="36">
        <v>980210</v>
      </c>
      <c r="D28" s="37">
        <v>2322.77</v>
      </c>
      <c r="E28" s="37">
        <v>64.99</v>
      </c>
      <c r="F28" s="124">
        <v>11</v>
      </c>
      <c r="G28" s="130">
        <v>199443</v>
      </c>
      <c r="H28" s="40">
        <v>32382</v>
      </c>
      <c r="I28" s="40">
        <v>22266</v>
      </c>
      <c r="J28" s="40">
        <v>0</v>
      </c>
      <c r="K28" s="40">
        <v>80500</v>
      </c>
      <c r="L28" s="40">
        <v>500</v>
      </c>
      <c r="M28" s="41">
        <f t="shared" si="0"/>
        <v>81000</v>
      </c>
      <c r="N28" s="40">
        <v>0</v>
      </c>
      <c r="O28" s="40">
        <v>288827</v>
      </c>
      <c r="P28" s="40">
        <v>1902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63"/>
        <v>0</v>
      </c>
      <c r="X28" s="40">
        <v>900</v>
      </c>
      <c r="Y28" s="41">
        <f t="shared" si="64"/>
        <v>626720</v>
      </c>
      <c r="Z28" s="40">
        <v>103207</v>
      </c>
      <c r="AA28" s="40">
        <v>0</v>
      </c>
      <c r="AB28" s="40">
        <v>0</v>
      </c>
      <c r="AC28" s="40">
        <v>12213</v>
      </c>
      <c r="AD28" s="40">
        <v>0</v>
      </c>
      <c r="AE28" s="41">
        <f t="shared" si="65"/>
        <v>115420</v>
      </c>
      <c r="AF28" s="40">
        <v>0</v>
      </c>
      <c r="AG28" s="40">
        <v>4</v>
      </c>
      <c r="AH28" s="40">
        <v>0</v>
      </c>
      <c r="AI28" s="40">
        <v>31670</v>
      </c>
      <c r="AJ28" s="40">
        <v>39644</v>
      </c>
      <c r="AK28" s="40">
        <v>143677</v>
      </c>
      <c r="AL28" s="40">
        <v>127967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6"/>
        <v>0</v>
      </c>
      <c r="AT28" s="36">
        <v>900</v>
      </c>
      <c r="AU28" s="4">
        <f t="shared" si="67"/>
        <v>459282</v>
      </c>
      <c r="AV28" s="36">
        <v>0</v>
      </c>
      <c r="AW28" s="36">
        <v>167438</v>
      </c>
      <c r="AX28" s="153">
        <f t="shared" si="68"/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9"/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1">
        <f t="shared" si="70"/>
        <v>0</v>
      </c>
      <c r="BP28" s="40">
        <v>0</v>
      </c>
      <c r="BQ28" s="40">
        <v>0</v>
      </c>
      <c r="BR28" s="40">
        <v>0</v>
      </c>
      <c r="BS28" s="41">
        <f t="shared" si="71"/>
        <v>0</v>
      </c>
      <c r="BT28" s="36">
        <v>347927</v>
      </c>
      <c r="BU28" s="36">
        <v>740404</v>
      </c>
      <c r="BV28" s="36">
        <v>0</v>
      </c>
      <c r="BW28" s="36">
        <v>0</v>
      </c>
      <c r="BX28" s="4">
        <f t="shared" si="72"/>
        <v>1088331</v>
      </c>
      <c r="BY28" s="36">
        <v>1011722</v>
      </c>
      <c r="BZ28" s="36">
        <v>0</v>
      </c>
      <c r="CA28" s="36">
        <v>76609</v>
      </c>
      <c r="CB28" s="4">
        <f t="shared" si="73"/>
        <v>1088331</v>
      </c>
      <c r="CC28" s="153">
        <f t="shared" si="74"/>
        <v>0</v>
      </c>
      <c r="CD28" s="70">
        <f t="shared" si="75"/>
        <v>-86438</v>
      </c>
      <c r="CE28" s="72">
        <f t="shared" si="76"/>
        <v>-86438</v>
      </c>
      <c r="CF28" s="72">
        <f t="shared" si="77"/>
        <v>0</v>
      </c>
      <c r="CG28" s="72">
        <f t="shared" si="35"/>
        <v>458382</v>
      </c>
      <c r="CH28" s="72">
        <f t="shared" si="78"/>
        <v>22262</v>
      </c>
      <c r="CI28" s="35">
        <f t="shared" si="79"/>
        <v>102762</v>
      </c>
      <c r="CJ28" s="57" t="str">
        <f t="shared" si="36"/>
        <v>-</v>
      </c>
      <c r="CK28" s="57" t="str">
        <f t="shared" si="37"/>
        <v>-</v>
      </c>
      <c r="CL28" s="148">
        <f t="shared" si="38"/>
        <v>-0.188571977084615</v>
      </c>
      <c r="CM28" s="148">
        <f t="shared" si="39"/>
        <v>-0.188571977084615</v>
      </c>
      <c r="CN28" s="148">
        <f t="shared" si="40"/>
        <v>0.048566479486541796</v>
      </c>
      <c r="CO28" s="148">
        <f t="shared" si="41"/>
        <v>0.2241841957144914</v>
      </c>
      <c r="CP28" s="148">
        <f t="shared" si="42"/>
        <v>0.09861164542661102</v>
      </c>
      <c r="CQ28" s="148">
        <f t="shared" si="43"/>
        <v>0.09800293156595292</v>
      </c>
      <c r="CR28" s="149">
        <f t="shared" si="44"/>
        <v>7.679434970730465</v>
      </c>
      <c r="CS28" s="72">
        <f t="shared" si="45"/>
        <v>-663795</v>
      </c>
      <c r="CT28" s="76">
        <f t="shared" si="80"/>
        <v>545720</v>
      </c>
      <c r="CU28" s="76">
        <f t="shared" si="81"/>
        <v>459282</v>
      </c>
      <c r="CV28" s="76">
        <f t="shared" si="82"/>
        <v>-86438</v>
      </c>
      <c r="CW28" s="76">
        <f t="shared" si="83"/>
        <v>0</v>
      </c>
      <c r="CX28" s="76">
        <f t="shared" si="84"/>
        <v>-86438</v>
      </c>
      <c r="CY28" s="76">
        <f t="shared" si="85"/>
        <v>-167438</v>
      </c>
      <c r="CZ28" s="76">
        <f t="shared" si="86"/>
        <v>0</v>
      </c>
      <c r="DA28" s="76">
        <f t="shared" si="87"/>
        <v>81000</v>
      </c>
      <c r="DB28" s="76">
        <f t="shared" si="88"/>
        <v>-86438</v>
      </c>
      <c r="DC28" s="76">
        <f t="shared" si="89"/>
        <v>-81000</v>
      </c>
      <c r="DD28" s="76">
        <f t="shared" si="90"/>
        <v>-167438</v>
      </c>
      <c r="DE28" s="76">
        <f t="shared" si="91"/>
        <v>103207</v>
      </c>
      <c r="DF28" s="76">
        <f t="shared" si="92"/>
        <v>-1572.9739336492892</v>
      </c>
      <c r="DG28" s="76">
        <f t="shared" si="93"/>
        <v>52.75355450236967</v>
      </c>
      <c r="DH28" s="76">
        <f t="shared" si="94"/>
        <v>244.56635071090048</v>
      </c>
      <c r="DI28" s="77">
        <f t="shared" si="95"/>
        <v>0</v>
      </c>
      <c r="DJ28" s="72">
        <f t="shared" si="96"/>
        <v>-204.82938388625593</v>
      </c>
      <c r="DK28" s="151">
        <f t="shared" si="46"/>
        <v>-663795</v>
      </c>
      <c r="DL28" s="136">
        <v>7</v>
      </c>
      <c r="DM28" s="136">
        <v>31</v>
      </c>
      <c r="DN28" s="65">
        <v>0</v>
      </c>
    </row>
    <row r="29" spans="1:118" ht="12.75">
      <c r="A29" s="50" t="s">
        <v>21</v>
      </c>
      <c r="B29" s="39">
        <v>2583</v>
      </c>
      <c r="C29" s="4">
        <v>9688597</v>
      </c>
      <c r="D29" s="32">
        <v>3750.91</v>
      </c>
      <c r="E29" s="32">
        <v>104.95</v>
      </c>
      <c r="F29" s="8">
        <v>11</v>
      </c>
      <c r="G29" s="129">
        <v>4850720.25</v>
      </c>
      <c r="H29" s="41">
        <v>542616.05</v>
      </c>
      <c r="I29" s="41">
        <v>75632.7</v>
      </c>
      <c r="J29" s="41">
        <v>0</v>
      </c>
      <c r="K29" s="41">
        <v>219300</v>
      </c>
      <c r="L29" s="41">
        <v>0</v>
      </c>
      <c r="M29" s="41">
        <f t="shared" si="0"/>
        <v>219300</v>
      </c>
      <c r="N29" s="41">
        <v>0</v>
      </c>
      <c r="O29" s="41">
        <v>304855.25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63"/>
        <v>0</v>
      </c>
      <c r="X29" s="41">
        <v>726084.5</v>
      </c>
      <c r="Y29" s="41">
        <f t="shared" si="64"/>
        <v>6719208.75</v>
      </c>
      <c r="Z29" s="41">
        <v>1034262.85</v>
      </c>
      <c r="AA29" s="41">
        <v>218789.9</v>
      </c>
      <c r="AB29" s="41">
        <v>0</v>
      </c>
      <c r="AC29" s="41">
        <v>74756.95</v>
      </c>
      <c r="AD29" s="41">
        <v>0</v>
      </c>
      <c r="AE29" s="41">
        <f t="shared" si="65"/>
        <v>1327809.7</v>
      </c>
      <c r="AF29" s="41">
        <v>0</v>
      </c>
      <c r="AG29" s="41">
        <v>16813.75</v>
      </c>
      <c r="AH29" s="41">
        <v>0</v>
      </c>
      <c r="AI29" s="41">
        <v>56308.9</v>
      </c>
      <c r="AJ29" s="41">
        <v>1681369.9</v>
      </c>
      <c r="AK29" s="41">
        <v>696074.25</v>
      </c>
      <c r="AL29" s="41">
        <v>2082137.5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6"/>
        <v>0</v>
      </c>
      <c r="AT29" s="4">
        <v>726084.5</v>
      </c>
      <c r="AU29" s="4">
        <f t="shared" si="67"/>
        <v>6586598.499999999</v>
      </c>
      <c r="AV29" s="4">
        <v>0</v>
      </c>
      <c r="AW29" s="4">
        <v>132610.25</v>
      </c>
      <c r="AX29" s="4">
        <f t="shared" si="68"/>
        <v>9.313225746154785E-10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9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70"/>
        <v>0</v>
      </c>
      <c r="BP29" s="41">
        <v>0</v>
      </c>
      <c r="BQ29" s="41">
        <v>0</v>
      </c>
      <c r="BR29" s="41">
        <v>0</v>
      </c>
      <c r="BS29" s="41">
        <f t="shared" si="71"/>
        <v>0</v>
      </c>
      <c r="BT29" s="4">
        <v>2045430.61</v>
      </c>
      <c r="BU29" s="4">
        <v>1974031</v>
      </c>
      <c r="BV29" s="4">
        <v>0</v>
      </c>
      <c r="BW29" s="4">
        <v>0</v>
      </c>
      <c r="BX29" s="4">
        <f t="shared" si="72"/>
        <v>4019461.6100000003</v>
      </c>
      <c r="BY29" s="4">
        <v>3829771.74</v>
      </c>
      <c r="BZ29" s="4">
        <v>0</v>
      </c>
      <c r="CA29" s="4">
        <v>189689.87</v>
      </c>
      <c r="CB29" s="4">
        <f t="shared" si="73"/>
        <v>4019461.6100000003</v>
      </c>
      <c r="CC29" s="4">
        <f t="shared" si="74"/>
        <v>0</v>
      </c>
      <c r="CD29" s="70">
        <f t="shared" si="75"/>
        <v>86689.75</v>
      </c>
      <c r="CE29" s="72">
        <f t="shared" si="76"/>
        <v>86689.75</v>
      </c>
      <c r="CF29" s="72">
        <f t="shared" si="77"/>
        <v>0</v>
      </c>
      <c r="CG29" s="72">
        <f t="shared" si="35"/>
        <v>5860513.999999999</v>
      </c>
      <c r="CH29" s="72">
        <f t="shared" si="78"/>
        <v>58818.95</v>
      </c>
      <c r="CI29" s="35">
        <f t="shared" si="79"/>
        <v>278118.95</v>
      </c>
      <c r="CJ29" s="57" t="str">
        <f t="shared" si="36"/>
        <v>-</v>
      </c>
      <c r="CK29" s="57" t="str">
        <f t="shared" si="37"/>
        <v>-</v>
      </c>
      <c r="CL29" s="148">
        <f t="shared" si="38"/>
        <v>0.014792175225586018</v>
      </c>
      <c r="CM29" s="148">
        <f t="shared" si="39"/>
        <v>0.014792175225586018</v>
      </c>
      <c r="CN29" s="148">
        <f t="shared" si="40"/>
        <v>0.01003648314806517</v>
      </c>
      <c r="CO29" s="148">
        <f t="shared" si="41"/>
        <v>0.047456409113603354</v>
      </c>
      <c r="CP29" s="148">
        <f t="shared" si="42"/>
        <v>0.0999849087985352</v>
      </c>
      <c r="CQ29" s="148">
        <f t="shared" si="43"/>
        <v>0.0999849087985352</v>
      </c>
      <c r="CR29" s="149">
        <f t="shared" si="44"/>
        <v>-20.58306927866328</v>
      </c>
      <c r="CS29" s="72">
        <f t="shared" si="45"/>
        <v>-1784341.1300000001</v>
      </c>
      <c r="CT29" s="76">
        <f t="shared" si="80"/>
        <v>6499908.75</v>
      </c>
      <c r="CU29" s="76">
        <f t="shared" si="81"/>
        <v>6586598.499999999</v>
      </c>
      <c r="CV29" s="76">
        <f t="shared" si="82"/>
        <v>86689.74999999907</v>
      </c>
      <c r="CW29" s="76">
        <f t="shared" si="83"/>
        <v>0</v>
      </c>
      <c r="CX29" s="76">
        <f t="shared" si="84"/>
        <v>86689.74999999907</v>
      </c>
      <c r="CY29" s="76">
        <f t="shared" si="85"/>
        <v>-132610.25000000093</v>
      </c>
      <c r="CZ29" s="76">
        <f t="shared" si="86"/>
        <v>0</v>
      </c>
      <c r="DA29" s="76">
        <f t="shared" si="87"/>
        <v>219300</v>
      </c>
      <c r="DB29" s="76">
        <f t="shared" si="88"/>
        <v>86689.74999999907</v>
      </c>
      <c r="DC29" s="76">
        <f t="shared" si="89"/>
        <v>-219300</v>
      </c>
      <c r="DD29" s="76">
        <f t="shared" si="90"/>
        <v>-132610.25000000093</v>
      </c>
      <c r="DE29" s="76">
        <f t="shared" si="91"/>
        <v>1253052.75</v>
      </c>
      <c r="DF29" s="76">
        <f t="shared" si="92"/>
        <v>-690.8018312040264</v>
      </c>
      <c r="DG29" s="76">
        <f t="shared" si="93"/>
        <v>22.771564072783583</v>
      </c>
      <c r="DH29" s="76">
        <f t="shared" si="94"/>
        <v>485.1152729384437</v>
      </c>
      <c r="DI29" s="77">
        <f t="shared" si="95"/>
        <v>0</v>
      </c>
      <c r="DJ29" s="72">
        <f t="shared" si="96"/>
        <v>33.561653116530806</v>
      </c>
      <c r="DK29" s="151">
        <f t="shared" si="46"/>
        <v>-1784341.13</v>
      </c>
      <c r="DL29" s="72">
        <v>60</v>
      </c>
      <c r="DM29" s="72">
        <v>375</v>
      </c>
      <c r="DN29" s="63">
        <v>0</v>
      </c>
    </row>
    <row r="30" spans="1:118" ht="12.75">
      <c r="A30" s="49" t="s">
        <v>31</v>
      </c>
      <c r="B30" s="44">
        <v>397</v>
      </c>
      <c r="C30" s="36">
        <v>1074255</v>
      </c>
      <c r="D30" s="37">
        <v>2705.93</v>
      </c>
      <c r="E30" s="37">
        <v>75.71</v>
      </c>
      <c r="F30" s="124">
        <v>14</v>
      </c>
      <c r="G30" s="130">
        <v>501360.55</v>
      </c>
      <c r="H30" s="40">
        <v>91999.5</v>
      </c>
      <c r="I30" s="40">
        <v>23209.05</v>
      </c>
      <c r="J30" s="40">
        <v>0</v>
      </c>
      <c r="K30" s="40">
        <v>115947.65</v>
      </c>
      <c r="L30" s="40">
        <v>0</v>
      </c>
      <c r="M30" s="41">
        <f t="shared" si="0"/>
        <v>115947.65</v>
      </c>
      <c r="N30" s="40">
        <v>0</v>
      </c>
      <c r="O30" s="40">
        <v>96098.95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63"/>
        <v>0</v>
      </c>
      <c r="X30" s="40">
        <v>55714.25</v>
      </c>
      <c r="Y30" s="41">
        <f t="shared" si="64"/>
        <v>884329.9500000001</v>
      </c>
      <c r="Z30" s="40">
        <v>217959.45</v>
      </c>
      <c r="AA30" s="40">
        <v>0</v>
      </c>
      <c r="AB30" s="40">
        <v>0</v>
      </c>
      <c r="AC30" s="40">
        <v>11489.95</v>
      </c>
      <c r="AD30" s="40">
        <v>0</v>
      </c>
      <c r="AE30" s="41">
        <f t="shared" si="65"/>
        <v>229449.40000000002</v>
      </c>
      <c r="AF30" s="40">
        <v>0</v>
      </c>
      <c r="AG30" s="40">
        <v>11070.35</v>
      </c>
      <c r="AH30" s="40">
        <v>0</v>
      </c>
      <c r="AI30" s="40">
        <v>2799.65</v>
      </c>
      <c r="AJ30" s="40">
        <v>210140.95</v>
      </c>
      <c r="AK30" s="40">
        <v>0</v>
      </c>
      <c r="AL30" s="40">
        <v>211385.25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6"/>
        <v>0</v>
      </c>
      <c r="AT30" s="36">
        <v>55714.25</v>
      </c>
      <c r="AU30" s="4">
        <f t="shared" si="67"/>
        <v>720559.85</v>
      </c>
      <c r="AV30" s="36">
        <v>0</v>
      </c>
      <c r="AW30" s="36">
        <v>163770.1</v>
      </c>
      <c r="AX30" s="153">
        <f t="shared" si="68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9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70"/>
        <v>0</v>
      </c>
      <c r="BP30" s="40">
        <v>0</v>
      </c>
      <c r="BQ30" s="40">
        <v>0</v>
      </c>
      <c r="BR30" s="40">
        <v>0</v>
      </c>
      <c r="BS30" s="41">
        <f t="shared" si="71"/>
        <v>0</v>
      </c>
      <c r="BT30" s="36">
        <v>293660.4</v>
      </c>
      <c r="BU30" s="36">
        <v>256643.4</v>
      </c>
      <c r="BV30" s="36">
        <v>0</v>
      </c>
      <c r="BW30" s="36">
        <v>163770.1</v>
      </c>
      <c r="BX30" s="4">
        <f t="shared" si="72"/>
        <v>714073.9</v>
      </c>
      <c r="BY30" s="36">
        <v>700513.55</v>
      </c>
      <c r="BZ30" s="36">
        <v>0</v>
      </c>
      <c r="CA30" s="36">
        <v>13560.35</v>
      </c>
      <c r="CB30" s="4">
        <f t="shared" si="73"/>
        <v>714073.9</v>
      </c>
      <c r="CC30" s="4">
        <f t="shared" si="74"/>
        <v>0</v>
      </c>
      <c r="CD30" s="70">
        <f t="shared" si="75"/>
        <v>-47822.45000000001</v>
      </c>
      <c r="CE30" s="72">
        <f t="shared" si="76"/>
        <v>-47822.45000000001</v>
      </c>
      <c r="CF30" s="72">
        <f t="shared" si="77"/>
        <v>0</v>
      </c>
      <c r="CG30" s="72">
        <f t="shared" si="35"/>
        <v>664845.6</v>
      </c>
      <c r="CH30" s="72">
        <f t="shared" si="78"/>
        <v>12138.699999999999</v>
      </c>
      <c r="CI30" s="35">
        <f t="shared" si="79"/>
        <v>128086.34999999999</v>
      </c>
      <c r="CJ30" s="57" t="str">
        <f t="shared" si="36"/>
        <v>-</v>
      </c>
      <c r="CK30" s="57" t="str">
        <f t="shared" si="37"/>
        <v>-</v>
      </c>
      <c r="CL30" s="148">
        <f t="shared" si="38"/>
        <v>-0.0719301594234812</v>
      </c>
      <c r="CM30" s="148">
        <f t="shared" si="39"/>
        <v>-0.0719301594234812</v>
      </c>
      <c r="CN30" s="148">
        <f t="shared" si="40"/>
        <v>0.018257923343404845</v>
      </c>
      <c r="CO30" s="148">
        <f t="shared" si="41"/>
        <v>0.19265578353831325</v>
      </c>
      <c r="CP30" s="148">
        <f t="shared" si="42"/>
        <v>0.3111927943518772</v>
      </c>
      <c r="CQ30" s="148">
        <f t="shared" si="43"/>
        <v>0.3111927943518772</v>
      </c>
      <c r="CR30" s="149">
        <f t="shared" si="44"/>
        <v>8.507576462519172</v>
      </c>
      <c r="CS30" s="72">
        <f t="shared" si="45"/>
        <v>-406853.15</v>
      </c>
      <c r="CT30" s="76">
        <f t="shared" si="80"/>
        <v>768382.3</v>
      </c>
      <c r="CU30" s="76">
        <f t="shared" si="81"/>
        <v>720559.85</v>
      </c>
      <c r="CV30" s="76">
        <f t="shared" si="82"/>
        <v>-47822.45000000007</v>
      </c>
      <c r="CW30" s="76">
        <f t="shared" si="83"/>
        <v>0</v>
      </c>
      <c r="CX30" s="76">
        <f t="shared" si="84"/>
        <v>-47822.45000000007</v>
      </c>
      <c r="CY30" s="76">
        <f t="shared" si="85"/>
        <v>-163770.10000000006</v>
      </c>
      <c r="CZ30" s="76">
        <f t="shared" si="86"/>
        <v>0</v>
      </c>
      <c r="DA30" s="76">
        <f t="shared" si="87"/>
        <v>115947.65</v>
      </c>
      <c r="DB30" s="76">
        <f t="shared" si="88"/>
        <v>-47822.45000000007</v>
      </c>
      <c r="DC30" s="76">
        <f t="shared" si="89"/>
        <v>-115947.65</v>
      </c>
      <c r="DD30" s="76">
        <f t="shared" si="90"/>
        <v>-163770.10000000006</v>
      </c>
      <c r="DE30" s="76">
        <f t="shared" si="91"/>
        <v>217959.45</v>
      </c>
      <c r="DF30" s="76">
        <f t="shared" si="92"/>
        <v>-1024.8190176322419</v>
      </c>
      <c r="DG30" s="76">
        <f t="shared" si="93"/>
        <v>30.57607052896725</v>
      </c>
      <c r="DH30" s="76">
        <f t="shared" si="94"/>
        <v>549.0162468513854</v>
      </c>
      <c r="DI30" s="77">
        <f t="shared" si="95"/>
        <v>0</v>
      </c>
      <c r="DJ30" s="72">
        <f t="shared" si="96"/>
        <v>-120.45957178841327</v>
      </c>
      <c r="DK30" s="151">
        <f t="shared" si="46"/>
        <v>-406853.15</v>
      </c>
      <c r="DL30" s="136">
        <v>9</v>
      </c>
      <c r="DM30" s="136">
        <v>49</v>
      </c>
      <c r="DN30" s="65">
        <v>0</v>
      </c>
    </row>
    <row r="31" spans="1:118" ht="13.5" thickBot="1">
      <c r="A31" s="51" t="s">
        <v>20</v>
      </c>
      <c r="B31" s="45">
        <v>303</v>
      </c>
      <c r="C31" s="7">
        <v>1003415</v>
      </c>
      <c r="D31" s="33">
        <v>3311.6</v>
      </c>
      <c r="E31" s="33">
        <v>92.66</v>
      </c>
      <c r="F31" s="125">
        <v>10</v>
      </c>
      <c r="G31" s="129">
        <v>405007.55</v>
      </c>
      <c r="H31" s="41">
        <v>99541.65</v>
      </c>
      <c r="I31" s="41">
        <v>1684.45</v>
      </c>
      <c r="J31" s="41">
        <v>0</v>
      </c>
      <c r="K31" s="41">
        <v>3652.85</v>
      </c>
      <c r="L31" s="41">
        <v>0</v>
      </c>
      <c r="M31" s="41">
        <f t="shared" si="0"/>
        <v>3652.85</v>
      </c>
      <c r="N31" s="41">
        <v>0</v>
      </c>
      <c r="O31" s="41">
        <v>102714.75</v>
      </c>
      <c r="P31" s="41">
        <v>4113.6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f t="shared" si="63"/>
        <v>0</v>
      </c>
      <c r="X31" s="41">
        <v>27000</v>
      </c>
      <c r="Y31" s="41">
        <f t="shared" si="64"/>
        <v>643714.8499999999</v>
      </c>
      <c r="Z31" s="41">
        <v>308331.85</v>
      </c>
      <c r="AA31" s="41">
        <v>3936.1</v>
      </c>
      <c r="AB31" s="41">
        <v>0</v>
      </c>
      <c r="AC31" s="41">
        <v>8769.4</v>
      </c>
      <c r="AD31" s="41">
        <v>0</v>
      </c>
      <c r="AE31" s="41">
        <f t="shared" si="65"/>
        <v>321037.35</v>
      </c>
      <c r="AF31" s="41">
        <v>0</v>
      </c>
      <c r="AG31" s="41">
        <v>295.3</v>
      </c>
      <c r="AH31" s="41">
        <v>0</v>
      </c>
      <c r="AI31" s="41">
        <v>69142.4</v>
      </c>
      <c r="AJ31" s="41">
        <v>0</v>
      </c>
      <c r="AK31" s="41">
        <v>0</v>
      </c>
      <c r="AL31" s="41">
        <v>184024.15</v>
      </c>
      <c r="AM31" s="41">
        <v>0</v>
      </c>
      <c r="AN31" s="4">
        <v>2938.85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6"/>
        <v>2938.85</v>
      </c>
      <c r="AT31" s="4">
        <v>27000</v>
      </c>
      <c r="AU31" s="4">
        <f t="shared" si="67"/>
        <v>604438.05</v>
      </c>
      <c r="AV31" s="4">
        <v>0</v>
      </c>
      <c r="AW31" s="4">
        <v>39276.8</v>
      </c>
      <c r="AX31" s="153">
        <f t="shared" si="68"/>
        <v>-1.8917489796876907E-10</v>
      </c>
      <c r="AY31" s="41">
        <v>0</v>
      </c>
      <c r="AZ31" s="41">
        <v>29957.85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9"/>
        <v>29957.85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f t="shared" si="70"/>
        <v>0</v>
      </c>
      <c r="BP31" s="41">
        <v>0</v>
      </c>
      <c r="BQ31" s="41">
        <v>0</v>
      </c>
      <c r="BR31" s="41">
        <v>29957.85</v>
      </c>
      <c r="BS31" s="155">
        <f t="shared" si="71"/>
        <v>0</v>
      </c>
      <c r="BT31" s="4">
        <v>277151.2</v>
      </c>
      <c r="BU31" s="4">
        <v>79305</v>
      </c>
      <c r="BV31" s="4">
        <v>0</v>
      </c>
      <c r="BW31" s="4">
        <v>0</v>
      </c>
      <c r="BX31" s="4">
        <f t="shared" si="72"/>
        <v>356456.2</v>
      </c>
      <c r="BY31" s="4">
        <v>280257.6</v>
      </c>
      <c r="BZ31" s="4">
        <v>19752.5</v>
      </c>
      <c r="CA31" s="4">
        <v>56446.1</v>
      </c>
      <c r="CB31" s="4">
        <f t="shared" si="73"/>
        <v>356456.19999999995</v>
      </c>
      <c r="CC31" s="153">
        <f t="shared" si="74"/>
        <v>0</v>
      </c>
      <c r="CD31" s="70">
        <f t="shared" si="75"/>
        <v>-35623.950000000004</v>
      </c>
      <c r="CE31" s="72">
        <f t="shared" si="76"/>
        <v>-38562.8</v>
      </c>
      <c r="CF31" s="72">
        <f t="shared" si="77"/>
        <v>29957.85</v>
      </c>
      <c r="CG31" s="72">
        <f t="shared" si="35"/>
        <v>574499.2000000001</v>
      </c>
      <c r="CH31" s="72">
        <f t="shared" si="78"/>
        <v>1389.15</v>
      </c>
      <c r="CI31" s="35">
        <f t="shared" si="79"/>
        <v>5042</v>
      </c>
      <c r="CJ31" s="57">
        <f t="shared" si="36"/>
        <v>-1.189135735708671</v>
      </c>
      <c r="CK31" s="57">
        <f t="shared" si="37"/>
        <v>-1.2872352321678626</v>
      </c>
      <c r="CL31" s="148">
        <f t="shared" si="38"/>
        <v>-0.06200870253605227</v>
      </c>
      <c r="CM31" s="148">
        <f t="shared" si="39"/>
        <v>-0.06712420139140315</v>
      </c>
      <c r="CN31" s="148">
        <f t="shared" si="40"/>
        <v>0.002418019032924676</v>
      </c>
      <c r="CO31" s="148">
        <f t="shared" si="41"/>
        <v>0.008776339462265569</v>
      </c>
      <c r="CP31" s="148">
        <f t="shared" si="42"/>
        <v>0.04403260209853558</v>
      </c>
      <c r="CQ31" s="148">
        <f t="shared" si="43"/>
        <v>0.04403260209853558</v>
      </c>
      <c r="CR31" s="149">
        <f t="shared" si="44"/>
        <v>0.08055431659526707</v>
      </c>
      <c r="CS31" s="72">
        <f t="shared" si="45"/>
        <v>-3106.399999999965</v>
      </c>
      <c r="CT31" s="76">
        <f t="shared" si="80"/>
        <v>640061.9999999999</v>
      </c>
      <c r="CU31" s="76">
        <f t="shared" si="81"/>
        <v>604438.05</v>
      </c>
      <c r="CV31" s="76">
        <f t="shared" si="82"/>
        <v>-35623.94999999984</v>
      </c>
      <c r="CW31" s="76">
        <f t="shared" si="83"/>
        <v>0</v>
      </c>
      <c r="CX31" s="76">
        <f t="shared" si="84"/>
        <v>-35623.94999999984</v>
      </c>
      <c r="CY31" s="76">
        <f t="shared" si="85"/>
        <v>-39276.799999999836</v>
      </c>
      <c r="CZ31" s="76">
        <f t="shared" si="86"/>
        <v>29957.85</v>
      </c>
      <c r="DA31" s="76">
        <f t="shared" si="87"/>
        <v>3652.85</v>
      </c>
      <c r="DB31" s="76">
        <f t="shared" si="88"/>
        <v>-65581.79999999984</v>
      </c>
      <c r="DC31" s="76">
        <f t="shared" si="89"/>
        <v>-3652.85</v>
      </c>
      <c r="DD31" s="76">
        <f t="shared" si="90"/>
        <v>-39276.79999999985</v>
      </c>
      <c r="DE31" s="76">
        <f t="shared" si="91"/>
        <v>312267.94999999995</v>
      </c>
      <c r="DF31" s="76">
        <f t="shared" si="92"/>
        <v>-10.252145214521336</v>
      </c>
      <c r="DG31" s="76">
        <f t="shared" si="93"/>
        <v>4.584653465346535</v>
      </c>
      <c r="DH31" s="76">
        <f t="shared" si="94"/>
        <v>1030.5872937293727</v>
      </c>
      <c r="DI31" s="77">
        <f t="shared" si="95"/>
        <v>98.87079207920792</v>
      </c>
      <c r="DJ31" s="72">
        <f t="shared" si="96"/>
        <v>-216.4415841584153</v>
      </c>
      <c r="DK31" s="151">
        <f t="shared" si="46"/>
        <v>-22858.9</v>
      </c>
      <c r="DL31" s="72">
        <v>15</v>
      </c>
      <c r="DM31" s="137">
        <v>33</v>
      </c>
      <c r="DN31" s="68">
        <v>0</v>
      </c>
    </row>
    <row r="32" spans="1:118" ht="12" customHeight="1">
      <c r="A32" s="58" t="s">
        <v>70</v>
      </c>
      <c r="B32" s="60">
        <f aca="true" t="shared" si="103" ref="B32:BM32">SUM(B3:B31)</f>
        <v>38210</v>
      </c>
      <c r="C32" s="60">
        <f t="shared" si="103"/>
        <v>136563571</v>
      </c>
      <c r="D32" s="60">
        <f t="shared" si="103"/>
        <v>91036.89</v>
      </c>
      <c r="E32" s="60">
        <f t="shared" si="103"/>
        <v>2547.1899999999996</v>
      </c>
      <c r="F32" s="60">
        <f t="shared" si="103"/>
        <v>314</v>
      </c>
      <c r="G32" s="116">
        <f t="shared" si="103"/>
        <v>38581688.99999999</v>
      </c>
      <c r="H32" s="117">
        <f t="shared" si="103"/>
        <v>6116660.2700000005</v>
      </c>
      <c r="I32" s="117">
        <f t="shared" si="103"/>
        <v>1393571.8</v>
      </c>
      <c r="J32" s="117">
        <f t="shared" si="103"/>
        <v>0</v>
      </c>
      <c r="K32" s="117">
        <f t="shared" si="103"/>
        <v>3663612.7</v>
      </c>
      <c r="L32" s="117">
        <f t="shared" si="103"/>
        <v>1005232.05</v>
      </c>
      <c r="M32" s="117">
        <f t="shared" si="103"/>
        <v>4668844.750000001</v>
      </c>
      <c r="N32" s="117">
        <f t="shared" si="103"/>
        <v>0</v>
      </c>
      <c r="O32" s="117">
        <f t="shared" si="103"/>
        <v>8585357.92</v>
      </c>
      <c r="P32" s="117">
        <f t="shared" si="103"/>
        <v>93640.75</v>
      </c>
      <c r="Q32" s="117">
        <f t="shared" si="103"/>
        <v>4900</v>
      </c>
      <c r="R32" s="117">
        <f t="shared" si="103"/>
        <v>0</v>
      </c>
      <c r="S32" s="117">
        <f t="shared" si="103"/>
        <v>0</v>
      </c>
      <c r="T32" s="117">
        <f t="shared" si="103"/>
        <v>100000</v>
      </c>
      <c r="U32" s="117">
        <f t="shared" si="103"/>
        <v>0</v>
      </c>
      <c r="V32" s="117">
        <f t="shared" si="103"/>
        <v>0</v>
      </c>
      <c r="W32" s="117">
        <f t="shared" si="103"/>
        <v>100000</v>
      </c>
      <c r="X32" s="117">
        <f t="shared" si="103"/>
        <v>3584718.9</v>
      </c>
      <c r="Y32" s="117">
        <f t="shared" si="103"/>
        <v>63129383.39000001</v>
      </c>
      <c r="Z32" s="117">
        <f t="shared" si="103"/>
        <v>17325841.4</v>
      </c>
      <c r="AA32" s="117">
        <f t="shared" si="103"/>
        <v>2120351.1</v>
      </c>
      <c r="AB32" s="117">
        <f t="shared" si="103"/>
        <v>9673.2</v>
      </c>
      <c r="AC32" s="117">
        <f t="shared" si="103"/>
        <v>1037654.1500000001</v>
      </c>
      <c r="AD32" s="117">
        <f t="shared" si="103"/>
        <v>0</v>
      </c>
      <c r="AE32" s="117">
        <f t="shared" si="103"/>
        <v>20493519.849999998</v>
      </c>
      <c r="AF32" s="117">
        <f t="shared" si="103"/>
        <v>0</v>
      </c>
      <c r="AG32" s="117">
        <f t="shared" si="103"/>
        <v>782089.1499999999</v>
      </c>
      <c r="AH32" s="117">
        <f t="shared" si="103"/>
        <v>0</v>
      </c>
      <c r="AI32" s="117">
        <f t="shared" si="103"/>
        <v>1324209.0999999996</v>
      </c>
      <c r="AJ32" s="117">
        <f t="shared" si="103"/>
        <v>15073089.2</v>
      </c>
      <c r="AK32" s="117">
        <f t="shared" si="103"/>
        <v>3328291.15</v>
      </c>
      <c r="AL32" s="117">
        <f t="shared" si="103"/>
        <v>15733309.55</v>
      </c>
      <c r="AM32" s="117">
        <f t="shared" si="103"/>
        <v>1250.1</v>
      </c>
      <c r="AN32" s="117">
        <f t="shared" si="103"/>
        <v>2938.85</v>
      </c>
      <c r="AO32" s="117">
        <f t="shared" si="103"/>
        <v>13450.4</v>
      </c>
      <c r="AP32" s="117">
        <f t="shared" si="103"/>
        <v>6254.85</v>
      </c>
      <c r="AQ32" s="117">
        <f t="shared" si="103"/>
        <v>0</v>
      </c>
      <c r="AR32" s="117">
        <f t="shared" si="103"/>
        <v>0</v>
      </c>
      <c r="AS32" s="117">
        <f t="shared" si="103"/>
        <v>22644.1</v>
      </c>
      <c r="AT32" s="117">
        <f t="shared" si="103"/>
        <v>3838755.1499999994</v>
      </c>
      <c r="AU32" s="117">
        <f t="shared" si="103"/>
        <v>60597157.349999994</v>
      </c>
      <c r="AV32" s="117">
        <f t="shared" si="103"/>
        <v>68413.08</v>
      </c>
      <c r="AW32" s="117">
        <f t="shared" si="103"/>
        <v>2600639.1199999996</v>
      </c>
      <c r="AX32" s="117">
        <f t="shared" si="103"/>
        <v>7.742755769868381E-09</v>
      </c>
      <c r="AY32" s="117">
        <f t="shared" si="103"/>
        <v>47089.899999999994</v>
      </c>
      <c r="AZ32" s="117">
        <f t="shared" si="103"/>
        <v>2583434.9</v>
      </c>
      <c r="BA32" s="117">
        <f t="shared" si="103"/>
        <v>0</v>
      </c>
      <c r="BB32" s="117">
        <f t="shared" si="103"/>
        <v>0</v>
      </c>
      <c r="BC32" s="117">
        <f t="shared" si="103"/>
        <v>0</v>
      </c>
      <c r="BD32" s="117">
        <f t="shared" si="103"/>
        <v>351938.7</v>
      </c>
      <c r="BE32" s="117">
        <f t="shared" si="103"/>
        <v>2500000</v>
      </c>
      <c r="BF32" s="117">
        <f t="shared" si="103"/>
        <v>5435373.6</v>
      </c>
      <c r="BG32" s="117">
        <f t="shared" si="103"/>
        <v>41818.5</v>
      </c>
      <c r="BH32" s="117">
        <f t="shared" si="103"/>
        <v>0</v>
      </c>
      <c r="BI32" s="117">
        <f t="shared" si="103"/>
        <v>3167</v>
      </c>
      <c r="BJ32" s="117">
        <f t="shared" si="103"/>
        <v>0</v>
      </c>
      <c r="BK32" s="117">
        <f t="shared" si="103"/>
        <v>3000</v>
      </c>
      <c r="BL32" s="117">
        <f t="shared" si="103"/>
        <v>0</v>
      </c>
      <c r="BM32" s="117">
        <f t="shared" si="103"/>
        <v>669060.45</v>
      </c>
      <c r="BN32" s="117">
        <f aca="true" t="shared" si="104" ref="BN32:DL32">SUM(BN3:BN31)</f>
        <v>350000</v>
      </c>
      <c r="BO32" s="117">
        <f t="shared" si="104"/>
        <v>1067045.9499999997</v>
      </c>
      <c r="BP32" s="117">
        <f t="shared" si="104"/>
        <v>717045.95</v>
      </c>
      <c r="BQ32" s="117">
        <f t="shared" si="104"/>
        <v>0</v>
      </c>
      <c r="BR32" s="117">
        <f t="shared" si="104"/>
        <v>5085373.6</v>
      </c>
      <c r="BS32" s="117">
        <f t="shared" si="104"/>
        <v>0</v>
      </c>
      <c r="BT32" s="117">
        <f t="shared" si="104"/>
        <v>22363175.849999994</v>
      </c>
      <c r="BU32" s="117">
        <f t="shared" si="104"/>
        <v>36405641.65</v>
      </c>
      <c r="BV32" s="117">
        <f t="shared" si="104"/>
        <v>0</v>
      </c>
      <c r="BW32" s="117">
        <f t="shared" si="104"/>
        <v>3159170.170000001</v>
      </c>
      <c r="BX32" s="117">
        <f t="shared" si="104"/>
        <v>61927987.669999994</v>
      </c>
      <c r="BY32" s="117">
        <f t="shared" si="104"/>
        <v>58021841.800000004</v>
      </c>
      <c r="BZ32" s="117">
        <f t="shared" si="104"/>
        <v>1422524.2999999998</v>
      </c>
      <c r="CA32" s="117">
        <f t="shared" si="104"/>
        <v>2483621.5700000003</v>
      </c>
      <c r="CB32" s="117">
        <f t="shared" si="104"/>
        <v>61927987.669999994</v>
      </c>
      <c r="CC32" s="117">
        <f t="shared" si="104"/>
        <v>0</v>
      </c>
      <c r="CD32" s="117">
        <f t="shared" si="104"/>
        <v>2136618.7099999995</v>
      </c>
      <c r="CE32" s="117">
        <f t="shared" si="104"/>
        <v>2213974.61</v>
      </c>
      <c r="CF32" s="117">
        <f t="shared" si="104"/>
        <v>4368327.65</v>
      </c>
      <c r="CG32" s="117">
        <f t="shared" si="104"/>
        <v>56734508.00000001</v>
      </c>
      <c r="CH32" s="117">
        <f t="shared" si="104"/>
        <v>658572.55</v>
      </c>
      <c r="CI32" s="117">
        <f t="shared" si="104"/>
        <v>4322185.25</v>
      </c>
      <c r="CJ32" s="118">
        <f t="shared" si="104"/>
        <v>-2.2548537684943284</v>
      </c>
      <c r="CK32" s="118">
        <f t="shared" si="104"/>
        <v>0.14238147307327642</v>
      </c>
      <c r="CL32" s="118">
        <f t="shared" si="104"/>
        <v>-0.4035467121854693</v>
      </c>
      <c r="CM32" s="118">
        <f t="shared" si="104"/>
        <v>-0.3800206683107302</v>
      </c>
      <c r="CN32" s="118">
        <f t="shared" si="104"/>
        <v>0.38675833367322565</v>
      </c>
      <c r="CO32" s="118">
        <f t="shared" si="104"/>
        <v>2.6202665087354715</v>
      </c>
      <c r="CP32" s="118">
        <f t="shared" si="104"/>
        <v>5.380655249056022</v>
      </c>
      <c r="CQ32" s="118">
        <f t="shared" si="104"/>
        <v>4.846114193248181</v>
      </c>
      <c r="CR32" s="117">
        <f t="shared" si="104"/>
        <v>151.6327250132487</v>
      </c>
      <c r="CS32" s="117">
        <f t="shared" si="104"/>
        <v>-35658665.949999996</v>
      </c>
      <c r="CT32" s="117">
        <f t="shared" si="104"/>
        <v>58460538.639999986</v>
      </c>
      <c r="CU32" s="117">
        <f t="shared" si="104"/>
        <v>60597157.349999994</v>
      </c>
      <c r="CV32" s="117">
        <f t="shared" si="104"/>
        <v>2136618.709999992</v>
      </c>
      <c r="CW32" s="117">
        <f t="shared" si="104"/>
        <v>0</v>
      </c>
      <c r="CX32" s="117">
        <f t="shared" si="104"/>
        <v>2136618.709999992</v>
      </c>
      <c r="CY32" s="117">
        <f t="shared" si="104"/>
        <v>-2532226.040000008</v>
      </c>
      <c r="CZ32" s="117">
        <f t="shared" si="104"/>
        <v>4368327.65</v>
      </c>
      <c r="DA32" s="117">
        <f t="shared" si="104"/>
        <v>4668844.750000001</v>
      </c>
      <c r="DB32" s="117">
        <f t="shared" si="104"/>
        <v>-2231708.9400000083</v>
      </c>
      <c r="DC32" s="117">
        <f t="shared" si="104"/>
        <v>-5385890.7</v>
      </c>
      <c r="DD32" s="117">
        <f t="shared" si="104"/>
        <v>-2532226.040000008</v>
      </c>
      <c r="DE32" s="117">
        <f t="shared" si="104"/>
        <v>19455865.7</v>
      </c>
      <c r="DF32" s="117">
        <f t="shared" si="104"/>
        <v>-24732.816308973033</v>
      </c>
      <c r="DG32" s="117">
        <f t="shared" si="104"/>
        <v>511.80251019481886</v>
      </c>
      <c r="DH32" s="117">
        <f t="shared" si="104"/>
        <v>13736.626288717582</v>
      </c>
      <c r="DI32" s="117">
        <f t="shared" si="104"/>
        <v>1694.5716027030264</v>
      </c>
      <c r="DJ32" s="117">
        <f t="shared" si="104"/>
        <v>-2164.8519212538176</v>
      </c>
      <c r="DK32" s="117">
        <f t="shared" si="104"/>
        <v>-37081190.25</v>
      </c>
      <c r="DL32" s="117">
        <f t="shared" si="104"/>
        <v>604</v>
      </c>
      <c r="DM32" s="24">
        <f>SUM(DM3:DM31)</f>
        <v>2683</v>
      </c>
      <c r="DN32" s="25">
        <f>SUM(DN3:DN31)</f>
        <v>0</v>
      </c>
    </row>
    <row r="33" spans="1:118" ht="12.75">
      <c r="A33" s="29" t="s">
        <v>47</v>
      </c>
      <c r="B33" s="23">
        <f aca="true" t="shared" si="105" ref="B33:BM33">MIN(B3:B31)</f>
        <v>176</v>
      </c>
      <c r="C33" s="23">
        <f t="shared" si="105"/>
        <v>360586</v>
      </c>
      <c r="D33" s="24">
        <f t="shared" si="105"/>
        <v>2048.79</v>
      </c>
      <c r="E33" s="24">
        <f t="shared" si="105"/>
        <v>57.32</v>
      </c>
      <c r="F33" s="114">
        <f t="shared" si="105"/>
        <v>0</v>
      </c>
      <c r="G33" s="120">
        <f t="shared" si="105"/>
        <v>0</v>
      </c>
      <c r="H33" s="23">
        <f t="shared" si="105"/>
        <v>0</v>
      </c>
      <c r="I33" s="23">
        <f t="shared" si="105"/>
        <v>0</v>
      </c>
      <c r="J33" s="23">
        <f t="shared" si="105"/>
        <v>0</v>
      </c>
      <c r="K33" s="23">
        <f t="shared" si="105"/>
        <v>0</v>
      </c>
      <c r="L33" s="23">
        <f t="shared" si="105"/>
        <v>0</v>
      </c>
      <c r="M33" s="23">
        <f t="shared" si="105"/>
        <v>0</v>
      </c>
      <c r="N33" s="23">
        <f t="shared" si="105"/>
        <v>0</v>
      </c>
      <c r="O33" s="23">
        <f t="shared" si="105"/>
        <v>0</v>
      </c>
      <c r="P33" s="23">
        <f t="shared" si="105"/>
        <v>0</v>
      </c>
      <c r="Q33" s="23">
        <f t="shared" si="105"/>
        <v>0</v>
      </c>
      <c r="R33" s="23">
        <f t="shared" si="105"/>
        <v>0</v>
      </c>
      <c r="S33" s="23">
        <f t="shared" si="105"/>
        <v>0</v>
      </c>
      <c r="T33" s="23">
        <f t="shared" si="105"/>
        <v>0</v>
      </c>
      <c r="U33" s="23">
        <f t="shared" si="105"/>
        <v>0</v>
      </c>
      <c r="V33" s="23">
        <f t="shared" si="105"/>
        <v>0</v>
      </c>
      <c r="W33" s="23">
        <f t="shared" si="105"/>
        <v>0</v>
      </c>
      <c r="X33" s="23">
        <f t="shared" si="105"/>
        <v>0</v>
      </c>
      <c r="Y33" s="23">
        <f t="shared" si="105"/>
        <v>0</v>
      </c>
      <c r="Z33" s="23">
        <f t="shared" si="105"/>
        <v>0</v>
      </c>
      <c r="AA33" s="23">
        <f t="shared" si="105"/>
        <v>0</v>
      </c>
      <c r="AB33" s="23">
        <f t="shared" si="105"/>
        <v>0</v>
      </c>
      <c r="AC33" s="23">
        <f>MIN(AC3:AC31)</f>
        <v>0</v>
      </c>
      <c r="AD33" s="23">
        <f t="shared" si="105"/>
        <v>0</v>
      </c>
      <c r="AE33" s="23">
        <f t="shared" si="105"/>
        <v>0</v>
      </c>
      <c r="AF33" s="23">
        <f t="shared" si="105"/>
        <v>0</v>
      </c>
      <c r="AG33" s="23">
        <f t="shared" si="105"/>
        <v>0</v>
      </c>
      <c r="AH33" s="23">
        <f t="shared" si="105"/>
        <v>0</v>
      </c>
      <c r="AI33" s="23">
        <f t="shared" si="105"/>
        <v>0</v>
      </c>
      <c r="AJ33" s="23">
        <f t="shared" si="105"/>
        <v>0</v>
      </c>
      <c r="AK33" s="23">
        <f t="shared" si="105"/>
        <v>0</v>
      </c>
      <c r="AL33" s="23">
        <f t="shared" si="105"/>
        <v>0</v>
      </c>
      <c r="AM33" s="23">
        <f t="shared" si="105"/>
        <v>0</v>
      </c>
      <c r="AN33" s="23">
        <f t="shared" si="105"/>
        <v>0</v>
      </c>
      <c r="AO33" s="23">
        <f t="shared" si="105"/>
        <v>0</v>
      </c>
      <c r="AP33" s="23">
        <f t="shared" si="105"/>
        <v>0</v>
      </c>
      <c r="AQ33" s="23">
        <f t="shared" si="105"/>
        <v>0</v>
      </c>
      <c r="AR33" s="23">
        <f t="shared" si="105"/>
        <v>0</v>
      </c>
      <c r="AS33" s="23">
        <f t="shared" si="105"/>
        <v>0</v>
      </c>
      <c r="AT33" s="23">
        <f t="shared" si="105"/>
        <v>0</v>
      </c>
      <c r="AU33" s="23">
        <f t="shared" si="105"/>
        <v>0</v>
      </c>
      <c r="AV33" s="23">
        <f t="shared" si="105"/>
        <v>0</v>
      </c>
      <c r="AW33" s="23">
        <f t="shared" si="105"/>
        <v>0</v>
      </c>
      <c r="AX33" s="23">
        <f t="shared" si="105"/>
        <v>-5.602487362921238E-10</v>
      </c>
      <c r="AY33" s="23">
        <f t="shared" si="105"/>
        <v>0</v>
      </c>
      <c r="AZ33" s="23">
        <f t="shared" si="105"/>
        <v>0</v>
      </c>
      <c r="BA33" s="23">
        <f t="shared" si="105"/>
        <v>0</v>
      </c>
      <c r="BB33" s="23">
        <f t="shared" si="105"/>
        <v>0</v>
      </c>
      <c r="BC33" s="23">
        <f t="shared" si="105"/>
        <v>0</v>
      </c>
      <c r="BD33" s="23">
        <f t="shared" si="105"/>
        <v>0</v>
      </c>
      <c r="BE33" s="23">
        <f t="shared" si="105"/>
        <v>0</v>
      </c>
      <c r="BF33" s="23">
        <f t="shared" si="105"/>
        <v>0</v>
      </c>
      <c r="BG33" s="23">
        <f t="shared" si="105"/>
        <v>0</v>
      </c>
      <c r="BH33" s="23">
        <f t="shared" si="105"/>
        <v>0</v>
      </c>
      <c r="BI33" s="23">
        <f t="shared" si="105"/>
        <v>0</v>
      </c>
      <c r="BJ33" s="23">
        <f t="shared" si="105"/>
        <v>0</v>
      </c>
      <c r="BK33" s="23">
        <f t="shared" si="105"/>
        <v>0</v>
      </c>
      <c r="BL33" s="23">
        <f t="shared" si="105"/>
        <v>0</v>
      </c>
      <c r="BM33" s="23">
        <f t="shared" si="105"/>
        <v>0</v>
      </c>
      <c r="BN33" s="23">
        <f aca="true" t="shared" si="106" ref="BN33:DL33">MIN(BN3:BN31)</f>
        <v>0</v>
      </c>
      <c r="BO33" s="23">
        <f t="shared" si="106"/>
        <v>0</v>
      </c>
      <c r="BP33" s="23">
        <f t="shared" si="106"/>
        <v>0</v>
      </c>
      <c r="BQ33" s="23">
        <f t="shared" si="106"/>
        <v>0</v>
      </c>
      <c r="BR33" s="23">
        <f t="shared" si="106"/>
        <v>0</v>
      </c>
      <c r="BS33" s="23">
        <f t="shared" si="106"/>
        <v>0</v>
      </c>
      <c r="BT33" s="23">
        <f t="shared" si="106"/>
        <v>0</v>
      </c>
      <c r="BU33" s="23">
        <f t="shared" si="106"/>
        <v>0</v>
      </c>
      <c r="BV33" s="23">
        <f t="shared" si="106"/>
        <v>0</v>
      </c>
      <c r="BW33" s="23">
        <f t="shared" si="106"/>
        <v>0</v>
      </c>
      <c r="BX33" s="23">
        <f t="shared" si="106"/>
        <v>0</v>
      </c>
      <c r="BY33" s="23">
        <f t="shared" si="106"/>
        <v>0</v>
      </c>
      <c r="BZ33" s="23">
        <f t="shared" si="106"/>
        <v>0</v>
      </c>
      <c r="CA33" s="23">
        <f t="shared" si="106"/>
        <v>0</v>
      </c>
      <c r="CB33" s="23">
        <f t="shared" si="106"/>
        <v>0</v>
      </c>
      <c r="CC33" s="23">
        <f t="shared" si="106"/>
        <v>0</v>
      </c>
      <c r="CD33" s="23">
        <f t="shared" si="106"/>
        <v>-185266.05</v>
      </c>
      <c r="CE33" s="23">
        <f t="shared" si="106"/>
        <v>-185266.05</v>
      </c>
      <c r="CF33" s="23">
        <f t="shared" si="106"/>
        <v>0</v>
      </c>
      <c r="CG33" s="23">
        <f t="shared" si="106"/>
        <v>0</v>
      </c>
      <c r="CH33" s="23">
        <f t="shared" si="106"/>
        <v>-225716.64468034342</v>
      </c>
      <c r="CI33" s="23">
        <f t="shared" si="106"/>
        <v>-37177.00946807234</v>
      </c>
      <c r="CJ33" s="89">
        <f t="shared" si="106"/>
        <v>-1.189135735708671</v>
      </c>
      <c r="CK33" s="89">
        <f t="shared" si="106"/>
        <v>-1.2872352321678626</v>
      </c>
      <c r="CL33" s="89">
        <f t="shared" si="106"/>
        <v>-0.188571977084615</v>
      </c>
      <c r="CM33" s="89">
        <f t="shared" si="106"/>
        <v>-0.188571977084615</v>
      </c>
      <c r="CN33" s="89">
        <f t="shared" si="106"/>
        <v>-0.04447399567540826</v>
      </c>
      <c r="CO33" s="89">
        <f t="shared" si="106"/>
        <v>-0.04447399567540826</v>
      </c>
      <c r="CP33" s="89">
        <f t="shared" si="106"/>
        <v>0</v>
      </c>
      <c r="CQ33" s="89">
        <f t="shared" si="106"/>
        <v>0</v>
      </c>
      <c r="CR33" s="23">
        <f t="shared" si="106"/>
        <v>-106.85094235800986</v>
      </c>
      <c r="CS33" s="23">
        <f t="shared" si="106"/>
        <v>-6096085.39</v>
      </c>
      <c r="CT33" s="23">
        <f t="shared" si="106"/>
        <v>0</v>
      </c>
      <c r="CU33" s="23">
        <f t="shared" si="106"/>
        <v>0</v>
      </c>
      <c r="CV33" s="23">
        <f t="shared" si="106"/>
        <v>-185266.05000000005</v>
      </c>
      <c r="CW33" s="23">
        <f t="shared" si="106"/>
        <v>0</v>
      </c>
      <c r="CX33" s="23">
        <f t="shared" si="106"/>
        <v>-185266.05000000005</v>
      </c>
      <c r="CY33" s="23">
        <f t="shared" si="106"/>
        <v>-343719.55000000005</v>
      </c>
      <c r="CZ33" s="23">
        <f t="shared" si="106"/>
        <v>0</v>
      </c>
      <c r="DA33" s="23">
        <f t="shared" si="106"/>
        <v>0</v>
      </c>
      <c r="DB33" s="23">
        <f t="shared" si="106"/>
        <v>-2368596.7500000014</v>
      </c>
      <c r="DC33" s="23">
        <f t="shared" si="106"/>
        <v>-1012934.3382236005</v>
      </c>
      <c r="DD33" s="23">
        <f t="shared" si="106"/>
        <v>-343719.55000000005</v>
      </c>
      <c r="DE33" s="23">
        <f t="shared" si="106"/>
        <v>0</v>
      </c>
      <c r="DF33" s="23">
        <f t="shared" si="106"/>
        <v>-2731.375454545455</v>
      </c>
      <c r="DG33" s="23">
        <f t="shared" si="106"/>
        <v>-100.47840396776309</v>
      </c>
      <c r="DH33" s="23">
        <f t="shared" si="106"/>
        <v>0</v>
      </c>
      <c r="DI33" s="23">
        <f t="shared" si="106"/>
        <v>0</v>
      </c>
      <c r="DJ33" s="23">
        <f t="shared" si="106"/>
        <v>-595.1248115577893</v>
      </c>
      <c r="DK33" s="23">
        <f t="shared" si="106"/>
        <v>-6096085.39</v>
      </c>
      <c r="DL33" s="23">
        <f t="shared" si="106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07" ref="B34:BM34">MAX(B3:B31)</f>
        <v>5645</v>
      </c>
      <c r="C34" s="23">
        <f t="shared" si="107"/>
        <v>23826845</v>
      </c>
      <c r="D34" s="24">
        <f t="shared" si="107"/>
        <v>4646.95</v>
      </c>
      <c r="E34" s="24">
        <f t="shared" si="107"/>
        <v>130.02</v>
      </c>
      <c r="F34" s="114">
        <f t="shared" si="107"/>
        <v>15</v>
      </c>
      <c r="G34" s="120">
        <f t="shared" si="107"/>
        <v>5648709.25</v>
      </c>
      <c r="H34" s="23">
        <f t="shared" si="107"/>
        <v>902116.92</v>
      </c>
      <c r="I34" s="23">
        <f t="shared" si="107"/>
        <v>337889.95</v>
      </c>
      <c r="J34" s="23">
        <f t="shared" si="107"/>
        <v>0</v>
      </c>
      <c r="K34" s="23">
        <f t="shared" si="107"/>
        <v>625885.8738072519</v>
      </c>
      <c r="L34" s="23">
        <f t="shared" si="107"/>
        <v>387048.4644163486</v>
      </c>
      <c r="M34" s="23">
        <f t="shared" si="107"/>
        <v>1012934.3382236005</v>
      </c>
      <c r="N34" s="23">
        <f t="shared" si="107"/>
        <v>0</v>
      </c>
      <c r="O34" s="23">
        <f t="shared" si="107"/>
        <v>1511902.5135575698</v>
      </c>
      <c r="P34" s="23">
        <f t="shared" si="107"/>
        <v>28020</v>
      </c>
      <c r="Q34" s="23">
        <f t="shared" si="107"/>
        <v>4900</v>
      </c>
      <c r="R34" s="23">
        <f t="shared" si="107"/>
        <v>0</v>
      </c>
      <c r="S34" s="23">
        <f t="shared" si="107"/>
        <v>0</v>
      </c>
      <c r="T34" s="23">
        <f t="shared" si="107"/>
        <v>100000</v>
      </c>
      <c r="U34" s="23">
        <f t="shared" si="107"/>
        <v>0</v>
      </c>
      <c r="V34" s="23">
        <f t="shared" si="107"/>
        <v>0</v>
      </c>
      <c r="W34" s="23">
        <f t="shared" si="107"/>
        <v>100000</v>
      </c>
      <c r="X34" s="23">
        <f t="shared" si="107"/>
        <v>1392098.15</v>
      </c>
      <c r="Y34" s="23">
        <f t="shared" si="107"/>
        <v>9003324.25</v>
      </c>
      <c r="Z34" s="23">
        <f t="shared" si="107"/>
        <v>3294706.269918893</v>
      </c>
      <c r="AA34" s="23">
        <f t="shared" si="107"/>
        <v>442792.65</v>
      </c>
      <c r="AB34" s="23">
        <f t="shared" si="107"/>
        <v>9673.2</v>
      </c>
      <c r="AC34" s="23">
        <f>MAX(AC3:AC31)</f>
        <v>163377.09983301527</v>
      </c>
      <c r="AD34" s="23">
        <f t="shared" si="107"/>
        <v>0</v>
      </c>
      <c r="AE34" s="23">
        <f t="shared" si="107"/>
        <v>3773537.469823473</v>
      </c>
      <c r="AF34" s="23">
        <f t="shared" si="107"/>
        <v>0</v>
      </c>
      <c r="AG34" s="23">
        <f t="shared" si="107"/>
        <v>471386.9908158396</v>
      </c>
      <c r="AH34" s="23">
        <f t="shared" si="107"/>
        <v>0</v>
      </c>
      <c r="AI34" s="23">
        <f t="shared" si="107"/>
        <v>632208.6</v>
      </c>
      <c r="AJ34" s="23">
        <f t="shared" si="107"/>
        <v>2329304.4</v>
      </c>
      <c r="AK34" s="23">
        <f t="shared" si="107"/>
        <v>696074.25</v>
      </c>
      <c r="AL34" s="23">
        <f t="shared" si="107"/>
        <v>2443282.15</v>
      </c>
      <c r="AM34" s="23">
        <f t="shared" si="107"/>
        <v>1250.1</v>
      </c>
      <c r="AN34" s="23">
        <f t="shared" si="107"/>
        <v>2938.85</v>
      </c>
      <c r="AO34" s="23">
        <f t="shared" si="107"/>
        <v>13450.4</v>
      </c>
      <c r="AP34" s="23">
        <f t="shared" si="107"/>
        <v>6254.85</v>
      </c>
      <c r="AQ34" s="23">
        <f t="shared" si="107"/>
        <v>0</v>
      </c>
      <c r="AR34" s="23">
        <f t="shared" si="107"/>
        <v>0</v>
      </c>
      <c r="AS34" s="23">
        <f t="shared" si="107"/>
        <v>13450.4</v>
      </c>
      <c r="AT34" s="23">
        <f t="shared" si="107"/>
        <v>1392098.15</v>
      </c>
      <c r="AU34" s="23">
        <f t="shared" si="107"/>
        <v>8931060.499999998</v>
      </c>
      <c r="AV34" s="23">
        <f t="shared" si="107"/>
        <v>59755.73</v>
      </c>
      <c r="AW34" s="23">
        <f t="shared" si="107"/>
        <v>343719.55</v>
      </c>
      <c r="AX34" s="23">
        <f t="shared" si="107"/>
        <v>3.281456883996725E-09</v>
      </c>
      <c r="AY34" s="23">
        <f t="shared" si="107"/>
        <v>31050.1</v>
      </c>
      <c r="AZ34" s="23">
        <f t="shared" si="107"/>
        <v>1089828.35</v>
      </c>
      <c r="BA34" s="23">
        <f t="shared" si="107"/>
        <v>0</v>
      </c>
      <c r="BB34" s="23">
        <f t="shared" si="107"/>
        <v>0</v>
      </c>
      <c r="BC34" s="23">
        <f t="shared" si="107"/>
        <v>0</v>
      </c>
      <c r="BD34" s="23">
        <f t="shared" si="107"/>
        <v>208602.66159695818</v>
      </c>
      <c r="BE34" s="23">
        <f t="shared" si="107"/>
        <v>2500000</v>
      </c>
      <c r="BF34" s="23">
        <f t="shared" si="107"/>
        <v>2965041.9</v>
      </c>
      <c r="BG34" s="23">
        <f t="shared" si="107"/>
        <v>41818.5</v>
      </c>
      <c r="BH34" s="23">
        <f t="shared" si="107"/>
        <v>0</v>
      </c>
      <c r="BI34" s="23">
        <f t="shared" si="107"/>
        <v>3167</v>
      </c>
      <c r="BJ34" s="23">
        <f t="shared" si="107"/>
        <v>0</v>
      </c>
      <c r="BK34" s="23">
        <f t="shared" si="107"/>
        <v>3000</v>
      </c>
      <c r="BL34" s="23">
        <f t="shared" si="107"/>
        <v>0</v>
      </c>
      <c r="BM34" s="23">
        <f t="shared" si="107"/>
        <v>378524.6978612167</v>
      </c>
      <c r="BN34" s="23">
        <f aca="true" t="shared" si="108" ref="BN34:DL34">MAX(BN3:BN31)</f>
        <v>208602.66159695818</v>
      </c>
      <c r="BO34" s="23">
        <f t="shared" si="108"/>
        <v>587127.3594581748</v>
      </c>
      <c r="BP34" s="23">
        <f t="shared" si="108"/>
        <v>378524.6978612167</v>
      </c>
      <c r="BQ34" s="23">
        <f t="shared" si="108"/>
        <v>0</v>
      </c>
      <c r="BR34" s="23">
        <f t="shared" si="108"/>
        <v>2965041.9</v>
      </c>
      <c r="BS34" s="23">
        <f t="shared" si="108"/>
        <v>0</v>
      </c>
      <c r="BT34" s="23">
        <f t="shared" si="108"/>
        <v>3692488.0446882956</v>
      </c>
      <c r="BU34" s="23">
        <f t="shared" si="108"/>
        <v>6220794.1</v>
      </c>
      <c r="BV34" s="23">
        <f t="shared" si="108"/>
        <v>0</v>
      </c>
      <c r="BW34" s="23">
        <f t="shared" si="108"/>
        <v>1010682.39</v>
      </c>
      <c r="BX34" s="23">
        <f t="shared" si="108"/>
        <v>9525567.630407125</v>
      </c>
      <c r="BY34" s="23">
        <f t="shared" si="108"/>
        <v>9103211.701932253</v>
      </c>
      <c r="BZ34" s="23">
        <f t="shared" si="108"/>
        <v>710191</v>
      </c>
      <c r="CA34" s="23">
        <f t="shared" si="108"/>
        <v>556707.88</v>
      </c>
      <c r="CB34" s="23">
        <f t="shared" si="108"/>
        <v>9525567.630407127</v>
      </c>
      <c r="CC34" s="23">
        <f t="shared" si="108"/>
        <v>0</v>
      </c>
      <c r="CD34" s="23">
        <f t="shared" si="108"/>
        <v>1007031.4619115776</v>
      </c>
      <c r="CE34" s="23">
        <f t="shared" si="108"/>
        <v>1007031.4619115776</v>
      </c>
      <c r="CF34" s="23">
        <f t="shared" si="108"/>
        <v>2883096.4</v>
      </c>
      <c r="CG34" s="23">
        <f t="shared" si="108"/>
        <v>7900291.55808683</v>
      </c>
      <c r="CH34" s="23">
        <f t="shared" si="108"/>
        <v>282454.95</v>
      </c>
      <c r="CI34" s="23">
        <f t="shared" si="108"/>
        <v>691852.55</v>
      </c>
      <c r="CJ34" s="89">
        <f t="shared" si="108"/>
        <v>1.7460650000000002</v>
      </c>
      <c r="CK34" s="89">
        <f t="shared" si="108"/>
        <v>4.246065</v>
      </c>
      <c r="CL34" s="89">
        <f t="shared" si="108"/>
        <v>0.12746763261930105</v>
      </c>
      <c r="CM34" s="89">
        <f t="shared" si="108"/>
        <v>0.12746763261930105</v>
      </c>
      <c r="CN34" s="89">
        <f t="shared" si="108"/>
        <v>0.07785492800860719</v>
      </c>
      <c r="CO34" s="89">
        <f t="shared" si="108"/>
        <v>0.2241841957144914</v>
      </c>
      <c r="CP34" s="89">
        <f t="shared" si="108"/>
        <v>1</v>
      </c>
      <c r="CQ34" s="89">
        <f t="shared" si="108"/>
        <v>1</v>
      </c>
      <c r="CR34" s="23">
        <f t="shared" si="108"/>
        <v>149.59815888783027</v>
      </c>
      <c r="CS34" s="23">
        <f t="shared" si="108"/>
        <v>247046.84999999998</v>
      </c>
      <c r="CT34" s="23">
        <f t="shared" si="108"/>
        <v>8416560.85</v>
      </c>
      <c r="CU34" s="23">
        <f t="shared" si="108"/>
        <v>8931060.499999998</v>
      </c>
      <c r="CV34" s="23">
        <f t="shared" si="108"/>
        <v>1007031.4619115759</v>
      </c>
      <c r="CW34" s="23">
        <f t="shared" si="108"/>
        <v>0</v>
      </c>
      <c r="CX34" s="23">
        <f t="shared" si="108"/>
        <v>1007031.4619115759</v>
      </c>
      <c r="CY34" s="23">
        <f t="shared" si="108"/>
        <v>59755.72999999672</v>
      </c>
      <c r="CZ34" s="23">
        <f t="shared" si="108"/>
        <v>2883096.4</v>
      </c>
      <c r="DA34" s="23">
        <f t="shared" si="108"/>
        <v>1012934.3382236005</v>
      </c>
      <c r="DB34" s="23">
        <f t="shared" si="108"/>
        <v>1007031.4619115759</v>
      </c>
      <c r="DC34" s="23">
        <f t="shared" si="108"/>
        <v>0</v>
      </c>
      <c r="DD34" s="23">
        <f t="shared" si="108"/>
        <v>59755.72999999672</v>
      </c>
      <c r="DE34" s="23">
        <f t="shared" si="108"/>
        <v>3610160.369990458</v>
      </c>
      <c r="DF34" s="23">
        <f t="shared" si="108"/>
        <v>207.81440886699485</v>
      </c>
      <c r="DG34" s="23">
        <f t="shared" si="108"/>
        <v>94.65648458445041</v>
      </c>
      <c r="DH34" s="23">
        <f t="shared" si="108"/>
        <v>1053.5508804448564</v>
      </c>
      <c r="DI34" s="23">
        <f t="shared" si="108"/>
        <v>724.39608040201</v>
      </c>
      <c r="DJ34" s="23">
        <f t="shared" si="108"/>
        <v>204.9099999999998</v>
      </c>
      <c r="DK34" s="23">
        <f t="shared" si="108"/>
        <v>21753.95</v>
      </c>
      <c r="DL34" s="23">
        <f t="shared" si="108"/>
        <v>103</v>
      </c>
      <c r="DM34" s="24">
        <f>MAX(DM3:DM31)</f>
        <v>533</v>
      </c>
      <c r="DN34" s="25">
        <f>MAX(DN3:DN31)</f>
        <v>0</v>
      </c>
    </row>
    <row r="35" spans="1:118" ht="13.5" thickBot="1">
      <c r="A35" s="30" t="s">
        <v>49</v>
      </c>
      <c r="B35" s="26">
        <f aca="true" t="shared" si="109" ref="B35:BM35">MEDIAN(B3:B31)</f>
        <v>627</v>
      </c>
      <c r="C35" s="26">
        <f t="shared" si="109"/>
        <v>1623908</v>
      </c>
      <c r="D35" s="27">
        <f t="shared" si="109"/>
        <v>2933.89</v>
      </c>
      <c r="E35" s="27">
        <f t="shared" si="109"/>
        <v>82.09</v>
      </c>
      <c r="F35" s="115">
        <f t="shared" si="109"/>
        <v>10</v>
      </c>
      <c r="G35" s="121">
        <f t="shared" si="109"/>
        <v>502841.1911392406</v>
      </c>
      <c r="H35" s="26">
        <f t="shared" si="109"/>
        <v>99541.65</v>
      </c>
      <c r="I35" s="26">
        <f t="shared" si="109"/>
        <v>21148.52523764259</v>
      </c>
      <c r="J35" s="26">
        <f t="shared" si="109"/>
        <v>0</v>
      </c>
      <c r="K35" s="26">
        <f t="shared" si="109"/>
        <v>80210.9</v>
      </c>
      <c r="L35" s="26">
        <f t="shared" si="109"/>
        <v>0</v>
      </c>
      <c r="M35" s="26">
        <f t="shared" si="109"/>
        <v>87000</v>
      </c>
      <c r="N35" s="26">
        <f t="shared" si="109"/>
        <v>0</v>
      </c>
      <c r="O35" s="26">
        <f t="shared" si="109"/>
        <v>195293.22199367092</v>
      </c>
      <c r="P35" s="26">
        <f t="shared" si="109"/>
        <v>0</v>
      </c>
      <c r="Q35" s="26">
        <f t="shared" si="109"/>
        <v>0</v>
      </c>
      <c r="R35" s="26">
        <f t="shared" si="109"/>
        <v>0</v>
      </c>
      <c r="S35" s="26">
        <f t="shared" si="109"/>
        <v>0</v>
      </c>
      <c r="T35" s="26">
        <f t="shared" si="109"/>
        <v>0</v>
      </c>
      <c r="U35" s="26">
        <f t="shared" si="109"/>
        <v>0</v>
      </c>
      <c r="V35" s="26">
        <f t="shared" si="109"/>
        <v>0</v>
      </c>
      <c r="W35" s="26">
        <f t="shared" si="109"/>
        <v>0</v>
      </c>
      <c r="X35" s="26">
        <f t="shared" si="109"/>
        <v>258.07984790874525</v>
      </c>
      <c r="Y35" s="26">
        <f t="shared" si="109"/>
        <v>909384.254914122</v>
      </c>
      <c r="Z35" s="26">
        <f t="shared" si="109"/>
        <v>267296.55</v>
      </c>
      <c r="AA35" s="26">
        <f t="shared" si="109"/>
        <v>16273.15</v>
      </c>
      <c r="AB35" s="26">
        <f t="shared" si="109"/>
        <v>0</v>
      </c>
      <c r="AC35" s="26">
        <f>MEDIAN(AC3:AC31)</f>
        <v>17451.984018987343</v>
      </c>
      <c r="AD35" s="26">
        <f t="shared" si="109"/>
        <v>0</v>
      </c>
      <c r="AE35" s="26">
        <f t="shared" si="109"/>
        <v>321037.35</v>
      </c>
      <c r="AF35" s="26">
        <f t="shared" si="109"/>
        <v>0</v>
      </c>
      <c r="AG35" s="26">
        <f t="shared" si="109"/>
        <v>499.3</v>
      </c>
      <c r="AH35" s="26">
        <f t="shared" si="109"/>
        <v>0</v>
      </c>
      <c r="AI35" s="26">
        <f t="shared" si="109"/>
        <v>13577.15</v>
      </c>
      <c r="AJ35" s="26">
        <f t="shared" si="109"/>
        <v>210382.5</v>
      </c>
      <c r="AK35" s="26">
        <f t="shared" si="109"/>
        <v>3494.5</v>
      </c>
      <c r="AL35" s="26">
        <f t="shared" si="109"/>
        <v>200856.3740506329</v>
      </c>
      <c r="AM35" s="26">
        <f t="shared" si="109"/>
        <v>0</v>
      </c>
      <c r="AN35" s="26">
        <f t="shared" si="109"/>
        <v>0</v>
      </c>
      <c r="AO35" s="26">
        <f t="shared" si="109"/>
        <v>0</v>
      </c>
      <c r="AP35" s="26">
        <f t="shared" si="109"/>
        <v>0</v>
      </c>
      <c r="AQ35" s="26">
        <f t="shared" si="109"/>
        <v>0</v>
      </c>
      <c r="AR35" s="26">
        <f t="shared" si="109"/>
        <v>0</v>
      </c>
      <c r="AS35" s="26">
        <f t="shared" si="109"/>
        <v>0</v>
      </c>
      <c r="AT35" s="26">
        <f t="shared" si="109"/>
        <v>347.9087452471483</v>
      </c>
      <c r="AU35" s="26">
        <f t="shared" si="109"/>
        <v>840611.9458790126</v>
      </c>
      <c r="AV35" s="26">
        <f t="shared" si="109"/>
        <v>0</v>
      </c>
      <c r="AW35" s="26">
        <f t="shared" si="109"/>
        <v>67945.4</v>
      </c>
      <c r="AX35" s="26">
        <f t="shared" si="109"/>
        <v>0</v>
      </c>
      <c r="AY35" s="26">
        <f t="shared" si="109"/>
        <v>0</v>
      </c>
      <c r="AZ35" s="26">
        <f t="shared" si="109"/>
        <v>0</v>
      </c>
      <c r="BA35" s="26">
        <f t="shared" si="109"/>
        <v>0</v>
      </c>
      <c r="BB35" s="26">
        <f t="shared" si="109"/>
        <v>0</v>
      </c>
      <c r="BC35" s="26">
        <f t="shared" si="109"/>
        <v>0</v>
      </c>
      <c r="BD35" s="26">
        <f t="shared" si="109"/>
        <v>0</v>
      </c>
      <c r="BE35" s="26">
        <f t="shared" si="109"/>
        <v>0</v>
      </c>
      <c r="BF35" s="26">
        <f t="shared" si="109"/>
        <v>0</v>
      </c>
      <c r="BG35" s="26">
        <f t="shared" si="109"/>
        <v>0</v>
      </c>
      <c r="BH35" s="26">
        <f t="shared" si="109"/>
        <v>0</v>
      </c>
      <c r="BI35" s="26">
        <f t="shared" si="109"/>
        <v>0</v>
      </c>
      <c r="BJ35" s="26">
        <f t="shared" si="109"/>
        <v>0</v>
      </c>
      <c r="BK35" s="26">
        <f t="shared" si="109"/>
        <v>0</v>
      </c>
      <c r="BL35" s="26">
        <f t="shared" si="109"/>
        <v>0</v>
      </c>
      <c r="BM35" s="26">
        <f t="shared" si="109"/>
        <v>0</v>
      </c>
      <c r="BN35" s="26">
        <f aca="true" t="shared" si="110" ref="BN35:DL35">MEDIAN(BN3:BN31)</f>
        <v>0</v>
      </c>
      <c r="BO35" s="26">
        <f t="shared" si="110"/>
        <v>0</v>
      </c>
      <c r="BP35" s="26">
        <f t="shared" si="110"/>
        <v>0</v>
      </c>
      <c r="BQ35" s="26">
        <f t="shared" si="110"/>
        <v>0</v>
      </c>
      <c r="BR35" s="26">
        <f t="shared" si="110"/>
        <v>0</v>
      </c>
      <c r="BS35" s="26">
        <f t="shared" si="110"/>
        <v>0</v>
      </c>
      <c r="BT35" s="26">
        <f t="shared" si="110"/>
        <v>420596.95531170483</v>
      </c>
      <c r="BU35" s="26">
        <f t="shared" si="110"/>
        <v>542140</v>
      </c>
      <c r="BV35" s="26">
        <f t="shared" si="110"/>
        <v>0</v>
      </c>
      <c r="BW35" s="26">
        <f t="shared" si="110"/>
        <v>38954.6</v>
      </c>
      <c r="BX35" s="26">
        <f t="shared" si="110"/>
        <v>1085020.3695928752</v>
      </c>
      <c r="BY35" s="26">
        <f t="shared" si="110"/>
        <v>975494.2177215191</v>
      </c>
      <c r="BZ35" s="26">
        <f t="shared" si="110"/>
        <v>0</v>
      </c>
      <c r="CA35" s="26">
        <f t="shared" si="110"/>
        <v>13560.35</v>
      </c>
      <c r="CB35" s="26">
        <f t="shared" si="110"/>
        <v>1085020.3695928755</v>
      </c>
      <c r="CC35" s="26">
        <f t="shared" si="110"/>
        <v>0</v>
      </c>
      <c r="CD35" s="26">
        <f t="shared" si="110"/>
        <v>0</v>
      </c>
      <c r="CE35" s="26">
        <f t="shared" si="110"/>
        <v>0</v>
      </c>
      <c r="CF35" s="26">
        <f t="shared" si="110"/>
        <v>0</v>
      </c>
      <c r="CG35" s="26">
        <f t="shared" si="110"/>
        <v>835926.9029796043</v>
      </c>
      <c r="CH35" s="26">
        <f t="shared" si="110"/>
        <v>12138.699999999999</v>
      </c>
      <c r="CI35" s="26">
        <f t="shared" si="110"/>
        <v>92854.5577471483</v>
      </c>
      <c r="CJ35" s="90">
        <f t="shared" si="110"/>
        <v>-0.5532155424516741</v>
      </c>
      <c r="CK35" s="90">
        <f t="shared" si="110"/>
        <v>-0.5532155424516741</v>
      </c>
      <c r="CL35" s="90">
        <f t="shared" si="110"/>
        <v>-0.004771829171182696</v>
      </c>
      <c r="CM35" s="90">
        <f t="shared" si="110"/>
        <v>-0.004771829171182696</v>
      </c>
      <c r="CN35" s="90">
        <f t="shared" si="110"/>
        <v>0.012144632923593298</v>
      </c>
      <c r="CO35" s="90">
        <f t="shared" si="110"/>
        <v>0.11129332076486764</v>
      </c>
      <c r="CP35" s="90">
        <f t="shared" si="110"/>
        <v>0.11965615321108936</v>
      </c>
      <c r="CQ35" s="90">
        <f t="shared" si="110"/>
        <v>0.10027533854109155</v>
      </c>
      <c r="CR35" s="26">
        <f t="shared" si="110"/>
        <v>1.3717418053834485</v>
      </c>
      <c r="CS35" s="26">
        <f t="shared" si="110"/>
        <v>-490128.88003802276</v>
      </c>
      <c r="CT35" s="26">
        <f t="shared" si="110"/>
        <v>807452.3022151904</v>
      </c>
      <c r="CU35" s="26">
        <f t="shared" si="110"/>
        <v>840611.9458790126</v>
      </c>
      <c r="CV35" s="26">
        <f t="shared" si="110"/>
        <v>0</v>
      </c>
      <c r="CW35" s="26">
        <f t="shared" si="110"/>
        <v>0</v>
      </c>
      <c r="CX35" s="26">
        <f t="shared" si="110"/>
        <v>0</v>
      </c>
      <c r="CY35" s="26">
        <f t="shared" si="110"/>
        <v>-67945.40000000014</v>
      </c>
      <c r="CZ35" s="26">
        <f t="shared" si="110"/>
        <v>0</v>
      </c>
      <c r="DA35" s="26">
        <f t="shared" si="110"/>
        <v>87000</v>
      </c>
      <c r="DB35" s="26">
        <f t="shared" si="110"/>
        <v>-47533.02000000188</v>
      </c>
      <c r="DC35" s="26">
        <f t="shared" si="110"/>
        <v>-115379.41177639949</v>
      </c>
      <c r="DD35" s="26">
        <f t="shared" si="110"/>
        <v>-67945.40000000014</v>
      </c>
      <c r="DE35" s="26">
        <f t="shared" si="110"/>
        <v>312267.94999999995</v>
      </c>
      <c r="DF35" s="26">
        <f t="shared" si="110"/>
        <v>-958.4984335241732</v>
      </c>
      <c r="DG35" s="26">
        <f t="shared" si="110"/>
        <v>17.226837234621666</v>
      </c>
      <c r="DH35" s="26">
        <f t="shared" si="110"/>
        <v>502.39434673366827</v>
      </c>
      <c r="DI35" s="26">
        <f t="shared" si="110"/>
        <v>0</v>
      </c>
      <c r="DJ35" s="26">
        <f t="shared" si="110"/>
        <v>-15.929296246649423</v>
      </c>
      <c r="DK35" s="26">
        <f t="shared" si="110"/>
        <v>-495068.9042721519</v>
      </c>
      <c r="DL35" s="26">
        <f t="shared" si="110"/>
        <v>8</v>
      </c>
      <c r="DM35" s="27">
        <f>MEDIAN(DM3:DM31)</f>
        <v>32</v>
      </c>
      <c r="DN35" s="28">
        <f>MEDIAN(DN3:DN31)</f>
        <v>0</v>
      </c>
    </row>
    <row r="37" spans="1:119" s="9" customFormat="1" ht="12.75">
      <c r="A37" s="3" t="s">
        <v>249</v>
      </c>
      <c r="B37" s="16">
        <f>SUM(B3:B31)</f>
        <v>38210</v>
      </c>
      <c r="C37" s="16">
        <f>SUM(C3:C31)</f>
        <v>136563571</v>
      </c>
      <c r="D37" s="16">
        <f>D35</f>
        <v>2933.89</v>
      </c>
      <c r="E37" s="150">
        <f>E35</f>
        <v>82.09</v>
      </c>
      <c r="F37" s="16">
        <f>SUM(F3:F31)</f>
        <v>314</v>
      </c>
      <c r="G37" s="16">
        <f aca="true" t="shared" si="111" ref="G37:BN37">SUM(G3:G31)</f>
        <v>38581688.99999999</v>
      </c>
      <c r="H37" s="16">
        <f t="shared" si="111"/>
        <v>6116660.2700000005</v>
      </c>
      <c r="I37" s="16">
        <f t="shared" si="111"/>
        <v>1393571.8</v>
      </c>
      <c r="J37" s="16">
        <f t="shared" si="111"/>
        <v>0</v>
      </c>
      <c r="K37" s="16">
        <f t="shared" si="111"/>
        <v>3663612.7</v>
      </c>
      <c r="L37" s="16">
        <f t="shared" si="111"/>
        <v>1005232.05</v>
      </c>
      <c r="M37" s="16">
        <f t="shared" si="111"/>
        <v>4668844.750000001</v>
      </c>
      <c r="N37" s="16">
        <f t="shared" si="111"/>
        <v>0</v>
      </c>
      <c r="O37" s="16">
        <f t="shared" si="111"/>
        <v>8585357.92</v>
      </c>
      <c r="P37" s="16">
        <f t="shared" si="111"/>
        <v>93640.75</v>
      </c>
      <c r="Q37" s="16">
        <f t="shared" si="111"/>
        <v>4900</v>
      </c>
      <c r="R37" s="16">
        <f t="shared" si="111"/>
        <v>0</v>
      </c>
      <c r="S37" s="16">
        <f t="shared" si="111"/>
        <v>0</v>
      </c>
      <c r="T37" s="16">
        <f t="shared" si="111"/>
        <v>100000</v>
      </c>
      <c r="U37" s="16">
        <f t="shared" si="111"/>
        <v>0</v>
      </c>
      <c r="V37" s="16">
        <f t="shared" si="111"/>
        <v>0</v>
      </c>
      <c r="W37" s="16">
        <f t="shared" si="111"/>
        <v>100000</v>
      </c>
      <c r="X37" s="16">
        <f t="shared" si="111"/>
        <v>3584718.9</v>
      </c>
      <c r="Y37" s="16">
        <f t="shared" si="111"/>
        <v>63129383.39000001</v>
      </c>
      <c r="Z37" s="16">
        <f t="shared" si="111"/>
        <v>17325841.4</v>
      </c>
      <c r="AA37" s="16">
        <f t="shared" si="111"/>
        <v>2120351.1</v>
      </c>
      <c r="AB37" s="16">
        <f t="shared" si="111"/>
        <v>9673.2</v>
      </c>
      <c r="AC37" s="16">
        <f t="shared" si="111"/>
        <v>1037654.1500000001</v>
      </c>
      <c r="AD37" s="16">
        <f t="shared" si="111"/>
        <v>0</v>
      </c>
      <c r="AE37" s="16">
        <f t="shared" si="111"/>
        <v>20493519.849999998</v>
      </c>
      <c r="AF37" s="16">
        <f t="shared" si="111"/>
        <v>0</v>
      </c>
      <c r="AG37" s="16">
        <f t="shared" si="111"/>
        <v>782089.1499999999</v>
      </c>
      <c r="AH37" s="16">
        <f t="shared" si="111"/>
        <v>0</v>
      </c>
      <c r="AI37" s="16">
        <f t="shared" si="111"/>
        <v>1324209.0999999996</v>
      </c>
      <c r="AJ37" s="16">
        <f t="shared" si="111"/>
        <v>15073089.2</v>
      </c>
      <c r="AK37" s="16">
        <f t="shared" si="111"/>
        <v>3328291.15</v>
      </c>
      <c r="AL37" s="16">
        <f t="shared" si="111"/>
        <v>15733309.55</v>
      </c>
      <c r="AM37" s="16">
        <f t="shared" si="111"/>
        <v>1250.1</v>
      </c>
      <c r="AN37" s="16">
        <f t="shared" si="111"/>
        <v>2938.85</v>
      </c>
      <c r="AO37" s="16">
        <f t="shared" si="111"/>
        <v>13450.4</v>
      </c>
      <c r="AP37" s="16">
        <f t="shared" si="111"/>
        <v>6254.85</v>
      </c>
      <c r="AQ37" s="16">
        <f t="shared" si="111"/>
        <v>0</v>
      </c>
      <c r="AR37" s="16">
        <f t="shared" si="111"/>
        <v>0</v>
      </c>
      <c r="AS37" s="16">
        <f t="shared" si="111"/>
        <v>22644.1</v>
      </c>
      <c r="AT37" s="16">
        <f t="shared" si="111"/>
        <v>3838755.1499999994</v>
      </c>
      <c r="AU37" s="16">
        <f t="shared" si="111"/>
        <v>60597157.349999994</v>
      </c>
      <c r="AV37" s="16">
        <f t="shared" si="111"/>
        <v>68413.08</v>
      </c>
      <c r="AW37" s="16">
        <f t="shared" si="111"/>
        <v>2600639.1199999996</v>
      </c>
      <c r="AX37" s="4">
        <f>Y37-AU37+AV37-AW37</f>
        <v>1.4435499906539917E-08</v>
      </c>
      <c r="AY37" s="16">
        <f t="shared" si="111"/>
        <v>47089.899999999994</v>
      </c>
      <c r="AZ37" s="16">
        <f t="shared" si="111"/>
        <v>2583434.9</v>
      </c>
      <c r="BA37" s="16">
        <f t="shared" si="111"/>
        <v>0</v>
      </c>
      <c r="BB37" s="16">
        <f t="shared" si="111"/>
        <v>0</v>
      </c>
      <c r="BC37" s="16">
        <f t="shared" si="111"/>
        <v>0</v>
      </c>
      <c r="BD37" s="16">
        <f t="shared" si="111"/>
        <v>351938.7</v>
      </c>
      <c r="BE37" s="16">
        <f t="shared" si="111"/>
        <v>2500000</v>
      </c>
      <c r="BF37" s="16">
        <f t="shared" si="111"/>
        <v>5435373.6</v>
      </c>
      <c r="BG37" s="16">
        <f t="shared" si="111"/>
        <v>41818.5</v>
      </c>
      <c r="BH37" s="16">
        <f t="shared" si="111"/>
        <v>0</v>
      </c>
      <c r="BI37" s="16">
        <f t="shared" si="111"/>
        <v>3167</v>
      </c>
      <c r="BJ37" s="16">
        <f t="shared" si="111"/>
        <v>0</v>
      </c>
      <c r="BK37" s="16">
        <f t="shared" si="111"/>
        <v>3000</v>
      </c>
      <c r="BL37" s="16">
        <f t="shared" si="111"/>
        <v>0</v>
      </c>
      <c r="BM37" s="16">
        <f t="shared" si="111"/>
        <v>669060.45</v>
      </c>
      <c r="BN37" s="16">
        <f t="shared" si="111"/>
        <v>350000</v>
      </c>
      <c r="BO37" s="16">
        <f>SUM(BO3:BO31)</f>
        <v>1067045.9499999997</v>
      </c>
      <c r="BP37" s="16">
        <f>SUM(BP3:BP31)</f>
        <v>717045.95</v>
      </c>
      <c r="BQ37" s="16">
        <f>SUM(BQ3:BQ31)</f>
        <v>0</v>
      </c>
      <c r="BR37" s="16">
        <f>SUM(BR3:BR31)</f>
        <v>5085373.6</v>
      </c>
      <c r="BS37" s="41">
        <f>+BF37-BO37+BP37+BQ37-BR37</f>
        <v>0</v>
      </c>
      <c r="BT37" s="16">
        <f aca="true" t="shared" si="112" ref="BT37:CB37">SUM(BT3:BT31)</f>
        <v>22363175.849999994</v>
      </c>
      <c r="BU37" s="16">
        <f t="shared" si="112"/>
        <v>36405641.65</v>
      </c>
      <c r="BV37" s="16">
        <f t="shared" si="112"/>
        <v>0</v>
      </c>
      <c r="BW37" s="16">
        <f t="shared" si="112"/>
        <v>3159170.170000001</v>
      </c>
      <c r="BX37" s="16">
        <f t="shared" si="112"/>
        <v>61927987.669999994</v>
      </c>
      <c r="BY37" s="16">
        <f t="shared" si="112"/>
        <v>58021841.800000004</v>
      </c>
      <c r="BZ37" s="16">
        <f t="shared" si="112"/>
        <v>1422524.2999999998</v>
      </c>
      <c r="CA37" s="16">
        <f t="shared" si="112"/>
        <v>2483621.5700000003</v>
      </c>
      <c r="CB37" s="16">
        <f t="shared" si="112"/>
        <v>61927987.669999994</v>
      </c>
      <c r="CC37" s="4">
        <f>BX37-CB37</f>
        <v>0</v>
      </c>
      <c r="CD37" s="70">
        <f>K37+L37+AV37-AW37</f>
        <v>2136618.7100000004</v>
      </c>
      <c r="CE37" s="72">
        <f>CD37+W37-AS37</f>
        <v>2213974.6100000003</v>
      </c>
      <c r="CF37" s="72">
        <f>BR37-BP37</f>
        <v>4368327.649999999</v>
      </c>
      <c r="CG37" s="72">
        <f>AU37-AM37-AT37-AS37</f>
        <v>56734507.99999999</v>
      </c>
      <c r="CH37" s="72">
        <f>I37-AG37+AY37+AH37+BQ37</f>
        <v>658572.5500000002</v>
      </c>
      <c r="CI37" s="35">
        <f>CH37+K37</f>
        <v>4322185.25</v>
      </c>
      <c r="CJ37" s="57">
        <f>CD37/CF37</f>
        <v>0.48911594577847217</v>
      </c>
      <c r="CK37" s="140">
        <f>CE37/CF37</f>
        <v>0.5068243015150204</v>
      </c>
      <c r="CL37" s="62">
        <f>CD37/CG37*1</f>
        <v>0.037659949567201687</v>
      </c>
      <c r="CM37" s="62">
        <f>CE37/CG37</f>
        <v>0.0390234213364466</v>
      </c>
      <c r="CN37" s="62">
        <f>CH37/CG37</f>
        <v>0.011607971465972707</v>
      </c>
      <c r="CO37" s="62">
        <f>CI37/CG37</f>
        <v>0.07618265148258624</v>
      </c>
      <c r="CP37" s="62">
        <f>(K37+L37)/(BU37+K37+L37)</f>
        <v>0.11366775726744084</v>
      </c>
      <c r="CQ37" s="62">
        <f>(K37)/(BU37+K37+L37)</f>
        <v>0.0891943642172967</v>
      </c>
      <c r="CR37" s="71">
        <f>CS37/CE37</f>
        <v>-16.106176551862085</v>
      </c>
      <c r="CS37" s="72">
        <f>BT37-BY37</f>
        <v>-35658665.95000001</v>
      </c>
      <c r="CT37" s="76">
        <f>Y37-K37-L37-V37</f>
        <v>58460538.64000001</v>
      </c>
      <c r="CU37" s="76">
        <f>AU37-AR37</f>
        <v>60597157.349999994</v>
      </c>
      <c r="CV37" s="76">
        <f>CU37-CT37</f>
        <v>2136618.709999986</v>
      </c>
      <c r="CW37" s="76">
        <f>-V37+AR37</f>
        <v>0</v>
      </c>
      <c r="CX37" s="76">
        <f>CV37+CW37</f>
        <v>2136618.709999986</v>
      </c>
      <c r="CY37" s="76">
        <f>CX37-K37-L37</f>
        <v>-2532226.040000014</v>
      </c>
      <c r="CZ37" s="76">
        <f>BR37-BP37</f>
        <v>4368327.649999999</v>
      </c>
      <c r="DA37" s="76">
        <f>K37+L37</f>
        <v>4668844.75</v>
      </c>
      <c r="DB37" s="76">
        <f>-CZ37+DA37+CY37</f>
        <v>-2231708.9400000134</v>
      </c>
      <c r="DC37" s="76">
        <f>-BP37-DA37</f>
        <v>-5385890.7</v>
      </c>
      <c r="DD37" s="76">
        <f>DB37+DC37+BR37</f>
        <v>-2532226.040000014</v>
      </c>
      <c r="DE37" s="76">
        <f>Z37+AA37+AB37</f>
        <v>19455865.7</v>
      </c>
      <c r="DF37" s="76">
        <f>CS37/B37</f>
        <v>-933.2286299398066</v>
      </c>
      <c r="DG37" s="76">
        <f>CH37/B37</f>
        <v>17.235607170897676</v>
      </c>
      <c r="DH37" s="76">
        <f>DE37/B37</f>
        <v>509.18256215650354</v>
      </c>
      <c r="DI37" s="77">
        <f>CZ37/B37</f>
        <v>114.32419916252289</v>
      </c>
      <c r="DJ37" s="72">
        <f>DB37/B37</f>
        <v>-58.406410363779464</v>
      </c>
      <c r="DK37" s="151">
        <f>CA37-BW37-BU37</f>
        <v>-37081190.25</v>
      </c>
      <c r="DL37" s="136">
        <f>SUM(DL32)</f>
        <v>604</v>
      </c>
      <c r="DM37" s="136">
        <f>SUM(DM32)</f>
        <v>2683</v>
      </c>
      <c r="DN37" s="139"/>
      <c r="DO37" s="65"/>
    </row>
    <row r="40" spans="1:118" ht="12.75">
      <c r="A40" s="50" t="s">
        <v>13</v>
      </c>
      <c r="B40" s="39">
        <v>3980</v>
      </c>
      <c r="C40" s="4">
        <v>16451699</v>
      </c>
      <c r="D40" s="32">
        <v>4133.59</v>
      </c>
      <c r="E40" s="32">
        <v>115.66</v>
      </c>
      <c r="F40" s="8">
        <v>10</v>
      </c>
      <c r="G40" s="129">
        <v>5483768.25</v>
      </c>
      <c r="H40" s="41">
        <v>699814.25</v>
      </c>
      <c r="I40" s="41">
        <v>65803.45</v>
      </c>
      <c r="J40" s="41">
        <v>0</v>
      </c>
      <c r="K40" s="41">
        <v>310000</v>
      </c>
      <c r="L40" s="41">
        <v>273596.4</v>
      </c>
      <c r="M40" s="41">
        <f>SUM(K40:L40)</f>
        <v>583596.4</v>
      </c>
      <c r="N40" s="41">
        <v>0</v>
      </c>
      <c r="O40" s="41">
        <v>556105.45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1392098.15</v>
      </c>
      <c r="Y40" s="41">
        <f>SUM(G40:X40)-M40-W40</f>
        <v>8781185.950000001</v>
      </c>
      <c r="Z40" s="41">
        <v>1463640.4</v>
      </c>
      <c r="AA40" s="41">
        <v>427769.4</v>
      </c>
      <c r="AB40" s="41">
        <v>0</v>
      </c>
      <c r="AC40" s="41">
        <v>115188.8</v>
      </c>
      <c r="AD40" s="41">
        <v>0</v>
      </c>
      <c r="AE40" s="41">
        <f>SUM(Z40:AD40)</f>
        <v>2006598.5999999999</v>
      </c>
      <c r="AF40" s="41">
        <v>0</v>
      </c>
      <c r="AG40" s="41">
        <v>667.5</v>
      </c>
      <c r="AH40" s="41">
        <v>0</v>
      </c>
      <c r="AI40" s="41">
        <v>62142.95</v>
      </c>
      <c r="AJ40" s="41">
        <v>2329304.4</v>
      </c>
      <c r="AK40" s="41">
        <v>573314.2</v>
      </c>
      <c r="AL40" s="41">
        <v>2370300.6</v>
      </c>
      <c r="AM40" s="41">
        <v>0</v>
      </c>
      <c r="AN40" s="4">
        <v>0</v>
      </c>
      <c r="AO40" s="4">
        <v>13450.4</v>
      </c>
      <c r="AP40" s="4">
        <v>0</v>
      </c>
      <c r="AQ40" s="4">
        <v>0</v>
      </c>
      <c r="AR40" s="4">
        <v>0</v>
      </c>
      <c r="AS40" s="4">
        <f>SUM(AN40:AR40)</f>
        <v>13450.4</v>
      </c>
      <c r="AT40" s="4">
        <v>1392098.15</v>
      </c>
      <c r="AU40" s="4">
        <f>SUM(Z40:AT40)-AE40-AH40-AS40</f>
        <v>8747876.8</v>
      </c>
      <c r="AV40" s="4">
        <v>0</v>
      </c>
      <c r="AW40" s="4">
        <v>33309.15</v>
      </c>
      <c r="AX40" s="153">
        <f>Y40-AU40+AV40-AW40</f>
        <v>3.710738383233547E-10</v>
      </c>
      <c r="AY40" s="41">
        <v>0</v>
      </c>
      <c r="AZ40" s="41">
        <v>416096.4</v>
      </c>
      <c r="BA40" s="41">
        <v>0</v>
      </c>
      <c r="BB40" s="41">
        <v>0</v>
      </c>
      <c r="BC40" s="41">
        <v>0</v>
      </c>
      <c r="BD40" s="41">
        <v>0</v>
      </c>
      <c r="BE40" s="41">
        <v>2500000</v>
      </c>
      <c r="BF40" s="41">
        <f>SUM(AZ40:BE40)</f>
        <v>2916096.4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33000</v>
      </c>
      <c r="BN40" s="41">
        <v>0</v>
      </c>
      <c r="BO40" s="41">
        <f>SUM(BG40:BN40)</f>
        <v>33000</v>
      </c>
      <c r="BP40" s="41">
        <v>33000</v>
      </c>
      <c r="BQ40" s="41">
        <v>0</v>
      </c>
      <c r="BR40" s="41">
        <v>2916096.4</v>
      </c>
      <c r="BS40" s="155">
        <f>+BF40-BO40+BP40+BQ40-BR40</f>
        <v>0</v>
      </c>
      <c r="BT40" s="4">
        <v>2257327.7</v>
      </c>
      <c r="BU40" s="4">
        <v>4778500</v>
      </c>
      <c r="BV40" s="4">
        <v>0</v>
      </c>
      <c r="BW40" s="4">
        <v>0</v>
      </c>
      <c r="BX40" s="4">
        <f>SUM(BT40:BW40)</f>
        <v>7035827.7</v>
      </c>
      <c r="BY40" s="4">
        <v>6835812.6</v>
      </c>
      <c r="BZ40" s="4">
        <v>0</v>
      </c>
      <c r="CA40" s="4">
        <v>200015.1</v>
      </c>
      <c r="CB40" s="4">
        <f>SUM(BY40:CA40)</f>
        <v>7035827.699999999</v>
      </c>
      <c r="CC40" s="153">
        <f>BX40-CB40</f>
        <v>0</v>
      </c>
      <c r="CD40" s="70">
        <f>K40+L40+AV40-AW40</f>
        <v>550287.25</v>
      </c>
      <c r="CE40" s="72">
        <f>CD40+W40-AS40</f>
        <v>536836.85</v>
      </c>
      <c r="CF40" s="72">
        <f>BR40-BP40</f>
        <v>2883096.4</v>
      </c>
      <c r="CG40" s="72">
        <f>AU40-AM40-AT40-AS40</f>
        <v>7342328.25</v>
      </c>
      <c r="CH40" s="72">
        <f>I40-AG40+AY40+AH40+BQ40</f>
        <v>65135.95</v>
      </c>
      <c r="CI40" s="35">
        <f>CH40+K40</f>
        <v>375135.95</v>
      </c>
      <c r="CJ40" s="57">
        <f>IF(CF40=0,"-",(CD40/CF40))</f>
        <v>0.19086675353623278</v>
      </c>
      <c r="CK40" s="57">
        <f>IF(CF40=0,"-",(CE40/CF40))</f>
        <v>0.18620149156302926</v>
      </c>
      <c r="CL40" s="148">
        <f>IF(CG40=0,"-",(CD40/CG40*1))</f>
        <v>0.0749472417008869</v>
      </c>
      <c r="CM40" s="148">
        <f>IF(CE40=0,"-",(CE40/CG40))</f>
        <v>0.07311534321555291</v>
      </c>
      <c r="CN40" s="148">
        <f>IF(CG40=0,"-",(CH40/CG40))</f>
        <v>0.008871293652663922</v>
      </c>
      <c r="CO40" s="148">
        <f>IF(CG40=0,"-",(CI40/CG40))</f>
        <v>0.05109223358408146</v>
      </c>
      <c r="CP40" s="148">
        <f>IF(BU40+K40+L40=0,"-",((K40+L40)/(BU40+K40+L40)))</f>
        <v>0.10883735697105333</v>
      </c>
      <c r="CQ40" s="148">
        <f>IF(BU40+K40+L40=0,"-",((K40)/(BU40+K40+L40)))</f>
        <v>0.05781320902772281</v>
      </c>
      <c r="CR40" s="149">
        <f>IF(CE40=0,"-",(CS40/CE40))</f>
        <v>-8.528633792557272</v>
      </c>
      <c r="CS40" s="72">
        <f>BT40-BY40</f>
        <v>-4578484.899999999</v>
      </c>
      <c r="CT40" s="76">
        <f>Y40-K40-L40-V40</f>
        <v>8197589.550000001</v>
      </c>
      <c r="CU40" s="76">
        <f>AU40-AR40</f>
        <v>8747876.8</v>
      </c>
      <c r="CV40" s="76">
        <f>CU40-CT40</f>
        <v>550287.25</v>
      </c>
      <c r="CW40" s="76">
        <f>-V40+AR40</f>
        <v>0</v>
      </c>
      <c r="CX40" s="76">
        <f>CV40+CW40</f>
        <v>550287.25</v>
      </c>
      <c r="CY40" s="76">
        <f>CX40-K40-L40</f>
        <v>-33309.15000000002</v>
      </c>
      <c r="CZ40" s="76">
        <f>BR40-BP40</f>
        <v>2883096.4</v>
      </c>
      <c r="DA40" s="76">
        <f>K40+L40</f>
        <v>583596.4</v>
      </c>
      <c r="DB40" s="76">
        <f>-CZ40+DA40+CY40</f>
        <v>-2332809.15</v>
      </c>
      <c r="DC40" s="76">
        <f>-BP40-DA40</f>
        <v>-616596.4</v>
      </c>
      <c r="DD40" s="76">
        <f>DB40+DC40+BR40</f>
        <v>-33309.14999999991</v>
      </c>
      <c r="DE40" s="76">
        <f>Z40+AA40+AB40</f>
        <v>1891409.7999999998</v>
      </c>
      <c r="DF40" s="76">
        <f>CS40/B40</f>
        <v>-1150.373090452261</v>
      </c>
      <c r="DG40" s="76">
        <f>CH40/B40</f>
        <v>16.365816582914572</v>
      </c>
      <c r="DH40" s="76">
        <f>DE40/B40</f>
        <v>475.2285929648241</v>
      </c>
      <c r="DI40" s="77">
        <f>CZ40/B40</f>
        <v>724.39608040201</v>
      </c>
      <c r="DJ40" s="72">
        <f>DB40/B40</f>
        <v>-586.1329522613065</v>
      </c>
      <c r="DK40" s="151">
        <f>CA40-BW40-BU40</f>
        <v>-4578484.9</v>
      </c>
      <c r="DL40" s="72">
        <v>103</v>
      </c>
      <c r="DM40" s="72">
        <v>523</v>
      </c>
      <c r="DN40" s="63">
        <v>0</v>
      </c>
    </row>
    <row r="41" spans="1:118" ht="12.75">
      <c r="A41" s="50" t="s">
        <v>218</v>
      </c>
      <c r="B41" s="39">
        <v>3980</v>
      </c>
      <c r="C41" s="4">
        <v>16451699</v>
      </c>
      <c r="D41" s="32">
        <v>4133.59</v>
      </c>
      <c r="E41" s="32">
        <v>115.66</v>
      </c>
      <c r="F41" s="8">
        <v>15</v>
      </c>
      <c r="G41" s="129">
        <v>164941</v>
      </c>
      <c r="H41" s="41">
        <v>17793.55</v>
      </c>
      <c r="I41" s="41">
        <v>1838.3</v>
      </c>
      <c r="J41" s="41">
        <v>0</v>
      </c>
      <c r="K41" s="41">
        <v>3167</v>
      </c>
      <c r="L41" s="41">
        <v>0</v>
      </c>
      <c r="M41" s="41">
        <f>SUM(K41:L41)</f>
        <v>3167</v>
      </c>
      <c r="N41" s="41">
        <v>0</v>
      </c>
      <c r="O41" s="41">
        <v>28107</v>
      </c>
      <c r="P41" s="41">
        <v>1391.45</v>
      </c>
      <c r="Q41" s="41">
        <v>4900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222138.3</v>
      </c>
      <c r="Z41" s="41">
        <v>83423.25</v>
      </c>
      <c r="AA41" s="41">
        <v>15023.25</v>
      </c>
      <c r="AB41" s="41">
        <v>9673.2</v>
      </c>
      <c r="AC41" s="41">
        <v>0</v>
      </c>
      <c r="AD41" s="41">
        <v>0</v>
      </c>
      <c r="AE41" s="41">
        <f>SUM(Z41:AD41)</f>
        <v>108119.7</v>
      </c>
      <c r="AF41" s="41">
        <v>0</v>
      </c>
      <c r="AG41" s="41">
        <v>93</v>
      </c>
      <c r="AH41" s="41">
        <v>0</v>
      </c>
      <c r="AI41" s="41">
        <f>739.35</f>
        <v>739.35</v>
      </c>
      <c r="AJ41" s="41">
        <v>0</v>
      </c>
      <c r="AK41" s="41">
        <v>0</v>
      </c>
      <c r="AL41" s="41">
        <v>72981.55</v>
      </c>
      <c r="AM41" s="41">
        <v>1250.1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183183.69999999995</v>
      </c>
      <c r="AV41" s="4">
        <v>0</v>
      </c>
      <c r="AW41" s="4">
        <v>38954.6</v>
      </c>
      <c r="AX41" s="153">
        <f>Y41-AU41+AV41-AW41</f>
        <v>0</v>
      </c>
      <c r="AY41" s="41">
        <v>0</v>
      </c>
      <c r="AZ41" s="41">
        <v>47006.8</v>
      </c>
      <c r="BA41" s="41">
        <v>0</v>
      </c>
      <c r="BB41" s="41">
        <v>0</v>
      </c>
      <c r="BC41" s="41">
        <v>0</v>
      </c>
      <c r="BD41" s="41">
        <v>1938.7</v>
      </c>
      <c r="BE41" s="41">
        <v>0</v>
      </c>
      <c r="BF41" s="41">
        <f>SUM(AZ41:BE41)</f>
        <v>48945.5</v>
      </c>
      <c r="BG41" s="41">
        <v>41818.5</v>
      </c>
      <c r="BH41" s="41">
        <v>0</v>
      </c>
      <c r="BI41" s="41">
        <v>3167</v>
      </c>
      <c r="BJ41" s="41">
        <v>0</v>
      </c>
      <c r="BK41" s="41">
        <v>3000</v>
      </c>
      <c r="BL41" s="41">
        <v>0</v>
      </c>
      <c r="BM41" s="41">
        <v>960</v>
      </c>
      <c r="BN41" s="41">
        <v>0</v>
      </c>
      <c r="BO41" s="41">
        <f>SUM(BG41:BN41)</f>
        <v>48945.5</v>
      </c>
      <c r="BP41" s="41">
        <v>48945.5</v>
      </c>
      <c r="BQ41" s="41">
        <v>0</v>
      </c>
      <c r="BR41" s="41">
        <v>48945.5</v>
      </c>
      <c r="BS41" s="41">
        <f>+BF41-BO41+BP41+BQ41-BR41</f>
        <v>0</v>
      </c>
      <c r="BT41" s="4">
        <f>155.75+10247.75</f>
        <v>10403.5</v>
      </c>
      <c r="BU41" s="4">
        <v>0</v>
      </c>
      <c r="BV41" s="4">
        <v>0</v>
      </c>
      <c r="BW41" s="4">
        <v>38954.6</v>
      </c>
      <c r="BX41" s="4">
        <f>SUM(BT41:BW41)</f>
        <v>49358.1</v>
      </c>
      <c r="BY41" s="4">
        <f>41933.85</f>
        <v>41933.85</v>
      </c>
      <c r="BZ41" s="4">
        <v>0</v>
      </c>
      <c r="CA41" s="4">
        <f>7424.25</f>
        <v>7424.25</v>
      </c>
      <c r="CB41" s="4">
        <f>SUM(BY41:CA41)</f>
        <v>49358.1</v>
      </c>
      <c r="CC41" s="4">
        <f>BX41-CB41</f>
        <v>0</v>
      </c>
      <c r="CD41" s="70">
        <f>K41+L41+AV41-AW41</f>
        <v>-35787.6</v>
      </c>
      <c r="CE41" s="72">
        <f>CD41+W41-AS41</f>
        <v>-35787.6</v>
      </c>
      <c r="CF41" s="72">
        <f>BR41-BP41</f>
        <v>0</v>
      </c>
      <c r="CG41" s="72">
        <f>AU41-AM41-AT41-AS41</f>
        <v>181933.59999999995</v>
      </c>
      <c r="CH41" s="72">
        <f>I41-AG41+AY41+AH41+BQ41</f>
        <v>1745.3</v>
      </c>
      <c r="CI41" s="35">
        <f>CH41+K41</f>
        <v>4912.3</v>
      </c>
      <c r="CJ41" s="57" t="str">
        <f>IF(CF41=0,"-",(CD41/CF41))</f>
        <v>-</v>
      </c>
      <c r="CK41" s="57" t="str">
        <f>IF(CF41=0,"-",(CE41/CF41))</f>
        <v>-</v>
      </c>
      <c r="CL41" s="148">
        <f>IF(CG41=0,"-",(CD41/CG41*1))</f>
        <v>-0.19670693044055637</v>
      </c>
      <c r="CM41" s="148">
        <f>IF(CE41=0,"-",(CE41/CG41))</f>
        <v>-0.19670693044055637</v>
      </c>
      <c r="CN41" s="148">
        <f>IF(CG41=0,"-",(CH41/CG41))</f>
        <v>0.009593060325305498</v>
      </c>
      <c r="CO41" s="148">
        <f>IF(CG41=0,"-",(CI41/CG41))</f>
        <v>0.027000510076203636</v>
      </c>
      <c r="CP41" s="148">
        <f>IF(BU41+K41+L41=0,"-",((K41+L41)/(BU41+K41+L41)))</f>
        <v>1</v>
      </c>
      <c r="CQ41" s="148">
        <f>IF(BU41+K41+L41=0,"-",((K41)/(BU41+K41+L41)))</f>
        <v>1</v>
      </c>
      <c r="CR41" s="149">
        <f>IF(CE41=0,"-",(CS41/CE41))</f>
        <v>0.8810411986274576</v>
      </c>
      <c r="CS41" s="72">
        <f>BT41-BY41</f>
        <v>-31530.35</v>
      </c>
      <c r="CT41" s="76">
        <f>Y41-K41-L41-V41</f>
        <v>218971.3</v>
      </c>
      <c r="CU41" s="76">
        <f>AU41-AR41</f>
        <v>183183.69999999995</v>
      </c>
      <c r="CV41" s="76">
        <f>CU41-CT41</f>
        <v>-35787.600000000035</v>
      </c>
      <c r="CW41" s="76">
        <f>-V41+AR41</f>
        <v>0</v>
      </c>
      <c r="CX41" s="76">
        <f>CV41+CW41</f>
        <v>-35787.600000000035</v>
      </c>
      <c r="CY41" s="76">
        <f>CX41-K41-L41</f>
        <v>-38954.600000000035</v>
      </c>
      <c r="CZ41" s="76">
        <f>BR41-BP41</f>
        <v>0</v>
      </c>
      <c r="DA41" s="76">
        <f>K41+L41</f>
        <v>3167</v>
      </c>
      <c r="DB41" s="76">
        <f>-CZ41+DA41+CY41</f>
        <v>-35787.600000000035</v>
      </c>
      <c r="DC41" s="76">
        <f>-BP41-DA41</f>
        <v>-52112.5</v>
      </c>
      <c r="DD41" s="76">
        <f>DB41+DC41+BR41</f>
        <v>-38954.600000000035</v>
      </c>
      <c r="DE41" s="76">
        <f>Z41+AA41+AB41</f>
        <v>108119.7</v>
      </c>
      <c r="DF41" s="76">
        <f>CS41/B41</f>
        <v>-7.922198492462311</v>
      </c>
      <c r="DG41" s="76">
        <f>CH41/B41</f>
        <v>0.43851758793969847</v>
      </c>
      <c r="DH41" s="76">
        <f>DE41/B41</f>
        <v>27.16575376884422</v>
      </c>
      <c r="DI41" s="77">
        <f>CZ41/B41</f>
        <v>0</v>
      </c>
      <c r="DJ41" s="72">
        <f>DB41/B41</f>
        <v>-8.99185929648242</v>
      </c>
      <c r="DK41" s="151">
        <f>CA41-BW41-BU41</f>
        <v>-31530.35</v>
      </c>
      <c r="DL41" s="72">
        <v>0</v>
      </c>
      <c r="DM41" s="72">
        <v>10</v>
      </c>
      <c r="DN41" s="63">
        <v>0</v>
      </c>
    </row>
    <row r="42" spans="1:118" ht="12.75">
      <c r="A42" s="3" t="s">
        <v>220</v>
      </c>
      <c r="B42" s="134">
        <f>B11+B27</f>
        <v>6288</v>
      </c>
      <c r="C42" s="146">
        <f>C11+C27</f>
        <v>25713337</v>
      </c>
      <c r="D42" s="145">
        <f>D11+D27</f>
        <v>7154.77</v>
      </c>
      <c r="E42" s="145">
        <f>((E11*B11)+(E27*B27))/B42</f>
        <v>114.41767970737914</v>
      </c>
      <c r="F42" s="146">
        <f>F11</f>
        <v>14</v>
      </c>
      <c r="G42" s="129">
        <v>4905911.95</v>
      </c>
      <c r="H42" s="41">
        <v>917057.25</v>
      </c>
      <c r="I42" s="41">
        <v>257613.9</v>
      </c>
      <c r="J42" s="41">
        <v>0</v>
      </c>
      <c r="K42" s="41">
        <v>697178.1</v>
      </c>
      <c r="L42" s="41">
        <v>431135.65</v>
      </c>
      <c r="M42" s="41">
        <f>SUM(K42:L42)</f>
        <v>1128313.75</v>
      </c>
      <c r="N42" s="41">
        <v>0</v>
      </c>
      <c r="O42" s="41">
        <v>1684117.45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8893014.3</v>
      </c>
      <c r="Z42" s="41">
        <v>3669993.45</v>
      </c>
      <c r="AA42" s="41">
        <v>351386.25</v>
      </c>
      <c r="AB42" s="41">
        <v>0</v>
      </c>
      <c r="AC42" s="41">
        <v>181986.75</v>
      </c>
      <c r="AD42" s="41">
        <v>0</v>
      </c>
      <c r="AE42" s="41">
        <f>SUM(Z42:AD42)</f>
        <v>4203366.45</v>
      </c>
      <c r="AF42" s="41">
        <v>0</v>
      </c>
      <c r="AG42" s="41">
        <v>525080.85</v>
      </c>
      <c r="AH42" s="41">
        <v>0</v>
      </c>
      <c r="AI42" s="41">
        <v>190659.95</v>
      </c>
      <c r="AJ42" s="41">
        <v>1852103.05</v>
      </c>
      <c r="AK42" s="41">
        <v>65107.45</v>
      </c>
      <c r="AL42" s="41">
        <v>1963865.3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86256</v>
      </c>
      <c r="AU42" s="4">
        <f>SUM(Z42:AT42)-AE42-AH42-AS42</f>
        <v>8886439.05</v>
      </c>
      <c r="AV42" s="4">
        <v>0</v>
      </c>
      <c r="AW42" s="4">
        <v>6575.25</v>
      </c>
      <c r="AX42" s="153">
        <f>Y42-AU42+AV42-AW42</f>
        <v>0</v>
      </c>
      <c r="AY42" s="41">
        <v>16039.8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f>SUM(BG42:BN42)</f>
        <v>0</v>
      </c>
      <c r="BP42" s="41">
        <v>0</v>
      </c>
      <c r="BQ42" s="41">
        <v>0</v>
      </c>
      <c r="BR42" s="41">
        <v>0</v>
      </c>
      <c r="BS42" s="41">
        <f>+BF42-BO42+BP42+BQ42-BR42</f>
        <v>0</v>
      </c>
      <c r="BT42" s="4">
        <v>4113085</v>
      </c>
      <c r="BU42" s="4">
        <v>6497503</v>
      </c>
      <c r="BV42" s="4">
        <v>0</v>
      </c>
      <c r="BW42" s="4">
        <v>0</v>
      </c>
      <c r="BX42" s="4">
        <f>SUM(BT42:BW42)</f>
        <v>10610588</v>
      </c>
      <c r="BY42" s="4">
        <v>10140123.15</v>
      </c>
      <c r="BZ42" s="4">
        <v>0</v>
      </c>
      <c r="CA42" s="4">
        <v>470464.85</v>
      </c>
      <c r="CB42" s="4">
        <f>SUM(BY42:CA42)</f>
        <v>10610588</v>
      </c>
      <c r="CC42" s="153">
        <f>BX42-CB42</f>
        <v>0</v>
      </c>
      <c r="CD42" s="70">
        <f>K42+L42+AV42-AW42</f>
        <v>1121738.5</v>
      </c>
      <c r="CE42" s="72">
        <f>CD42+W42-AS42</f>
        <v>1121738.5</v>
      </c>
      <c r="CF42" s="72">
        <f>BR42-BP42</f>
        <v>0</v>
      </c>
      <c r="CG42" s="72">
        <f>AU42-AM42-AT42-AS42</f>
        <v>8800183.05</v>
      </c>
      <c r="CH42" s="72">
        <f>I42-AG42+AY42+AH42+BQ42</f>
        <v>-251427.14999999997</v>
      </c>
      <c r="CI42" s="35">
        <f>CH42+K42</f>
        <v>445750.95</v>
      </c>
      <c r="CJ42" s="57" t="str">
        <f>IF(CF42=0,"-",(CD42/CF42))</f>
        <v>-</v>
      </c>
      <c r="CK42" s="57" t="str">
        <f>IF(CF42=0,"-",(CE42/CF42))</f>
        <v>-</v>
      </c>
      <c r="CL42" s="148">
        <f>IF(CG42=0,"-",(CD42/CG42*1))</f>
        <v>0.12746763261930102</v>
      </c>
      <c r="CM42" s="148">
        <f>IF(CE42=0,"-",(CE42/CG42))</f>
        <v>0.12746763261930102</v>
      </c>
      <c r="CN42" s="148">
        <f>IF(CG42=0,"-",(CH42/CG42))</f>
        <v>-0.02857067274299481</v>
      </c>
      <c r="CO42" s="148">
        <f>IF(CG42=0,"-",(CI42/CG42))</f>
        <v>0.05065246341665586</v>
      </c>
      <c r="CP42" s="148">
        <f>IF(BU42+K42+L42=0,"-",((K42+L42)/(BU42+K42+L42)))</f>
        <v>0.14795972510092115</v>
      </c>
      <c r="CQ42" s="148">
        <f>IF(BU42+K42+L42=0,"-",((K42)/(BU42+K42+L42)))</f>
        <v>0.09142340064754376</v>
      </c>
      <c r="CR42" s="149">
        <f>IF(CE42=0,"-",(CS42/CE42))</f>
        <v>-5.372944006111942</v>
      </c>
      <c r="CS42" s="72">
        <f>BT42-BY42</f>
        <v>-6027038.15</v>
      </c>
      <c r="CT42" s="76">
        <f>Y42-K42-L42-V42</f>
        <v>7764700.550000001</v>
      </c>
      <c r="CU42" s="76">
        <f>AU42-AR42</f>
        <v>8886439.05</v>
      </c>
      <c r="CV42" s="76">
        <f>CU42-CT42</f>
        <v>1121738.5</v>
      </c>
      <c r="CW42" s="76">
        <f>-V42+AR42</f>
        <v>0</v>
      </c>
      <c r="CX42" s="76">
        <f>CV42+CW42</f>
        <v>1121738.5</v>
      </c>
      <c r="CY42" s="76">
        <f>CX42-K42-L42</f>
        <v>-6575.25</v>
      </c>
      <c r="CZ42" s="76">
        <f>BR42-BP42</f>
        <v>0</v>
      </c>
      <c r="DA42" s="76">
        <f>K42+L42</f>
        <v>1128313.75</v>
      </c>
      <c r="DB42" s="76">
        <f>-CZ42+DA42+CY42</f>
        <v>1121738.5</v>
      </c>
      <c r="DC42" s="76">
        <f>-BP42-DA42</f>
        <v>-1128313.75</v>
      </c>
      <c r="DD42" s="76">
        <f>DB42+DC42+BR42</f>
        <v>-6575.25</v>
      </c>
      <c r="DE42" s="76">
        <f>Z42+AA42+AB42</f>
        <v>4021379.7</v>
      </c>
      <c r="DF42" s="76">
        <f>CS42/B42</f>
        <v>-958.498433524173</v>
      </c>
      <c r="DG42" s="76">
        <f>CH42/B42</f>
        <v>-39.98523377862595</v>
      </c>
      <c r="DH42" s="76">
        <f>DE42/B42</f>
        <v>639.5323950381679</v>
      </c>
      <c r="DI42" s="77">
        <f>CZ42/B42</f>
        <v>0</v>
      </c>
      <c r="DJ42" s="72">
        <f>DB42/B42</f>
        <v>178.39352735368956</v>
      </c>
      <c r="DK42" s="151">
        <f>CA42-BW42-BU42</f>
        <v>-6027038.15</v>
      </c>
      <c r="DL42" s="72">
        <v>134</v>
      </c>
      <c r="DM42" s="72">
        <v>601</v>
      </c>
      <c r="DN42" s="63">
        <v>0</v>
      </c>
    </row>
    <row r="43" spans="1:118" ht="12.75">
      <c r="A43" s="3" t="s">
        <v>221</v>
      </c>
      <c r="B43" s="134">
        <f>B12+B14+B23</f>
        <v>1052</v>
      </c>
      <c r="F43" s="3">
        <v>11</v>
      </c>
      <c r="G43" s="129">
        <v>1061085.7</v>
      </c>
      <c r="H43" s="41">
        <v>172561.25</v>
      </c>
      <c r="I43" s="41">
        <v>35483.65</v>
      </c>
      <c r="J43" s="41">
        <v>0</v>
      </c>
      <c r="K43" s="41">
        <v>121427.1</v>
      </c>
      <c r="L43" s="41">
        <v>0</v>
      </c>
      <c r="M43" s="41">
        <f>SUM(K43:L43)</f>
        <v>121427.1</v>
      </c>
      <c r="N43" s="41">
        <v>0</v>
      </c>
      <c r="O43" s="41">
        <v>289961.3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1500</v>
      </c>
      <c r="Y43" s="41">
        <f>SUM(G43:X43)-M43-W43</f>
        <v>1682019</v>
      </c>
      <c r="Z43" s="41">
        <v>482300.4</v>
      </c>
      <c r="AA43" s="41">
        <v>78489</v>
      </c>
      <c r="AB43" s="41">
        <v>0</v>
      </c>
      <c r="AC43" s="41">
        <v>30446.95</v>
      </c>
      <c r="AD43" s="41">
        <v>0</v>
      </c>
      <c r="AE43" s="41">
        <f>SUM(Z43:AD43)</f>
        <v>591236.35</v>
      </c>
      <c r="AF43" s="41">
        <v>0</v>
      </c>
      <c r="AG43" s="41">
        <v>1116.5</v>
      </c>
      <c r="AH43" s="41">
        <v>0</v>
      </c>
      <c r="AI43" s="41">
        <v>0</v>
      </c>
      <c r="AJ43" s="41">
        <v>329424.8</v>
      </c>
      <c r="AK43" s="41">
        <v>0</v>
      </c>
      <c r="AL43" s="41">
        <v>478075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1500</v>
      </c>
      <c r="AU43" s="4">
        <f>SUM(Z43:AT43)-AE43-AH43-AS43</f>
        <v>1401352.65</v>
      </c>
      <c r="AV43" s="4">
        <v>0</v>
      </c>
      <c r="AW43" s="4">
        <v>280666.35</v>
      </c>
      <c r="AX43" s="153">
        <f>Y43-AU43+AV43-AW43</f>
        <v>0</v>
      </c>
      <c r="AY43" s="41">
        <v>0</v>
      </c>
      <c r="AZ43" s="41">
        <v>770428.55</v>
      </c>
      <c r="BA43" s="41">
        <v>0</v>
      </c>
      <c r="BB43" s="41">
        <v>0</v>
      </c>
      <c r="BC43" s="41">
        <v>0</v>
      </c>
      <c r="BD43" s="41">
        <v>350000</v>
      </c>
      <c r="BE43" s="41">
        <v>0</v>
      </c>
      <c r="BF43" s="41">
        <f>SUM(AZ43:BE43)</f>
        <v>1120428.55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635100.45</v>
      </c>
      <c r="BN43" s="41">
        <v>350000</v>
      </c>
      <c r="BO43" s="41">
        <f>SUM(BG43:BN43)</f>
        <v>985100.45</v>
      </c>
      <c r="BP43" s="41">
        <v>635100.45</v>
      </c>
      <c r="BQ43" s="41">
        <v>0</v>
      </c>
      <c r="BR43" s="41">
        <v>770428.55</v>
      </c>
      <c r="BS43" s="155">
        <f>+BF43-BO43+BP43+BQ43-BR43</f>
        <v>0</v>
      </c>
      <c r="BT43" s="4">
        <v>1219900.4</v>
      </c>
      <c r="BU43" s="4">
        <v>743005</v>
      </c>
      <c r="BV43" s="4">
        <v>0</v>
      </c>
      <c r="BW43" s="4">
        <v>79348.4</v>
      </c>
      <c r="BX43" s="4">
        <f>SUM(BT43:BW43)</f>
        <v>2042253.7999999998</v>
      </c>
      <c r="BY43" s="4">
        <v>2042253.8</v>
      </c>
      <c r="BZ43" s="4">
        <v>0</v>
      </c>
      <c r="CA43" s="4">
        <v>0</v>
      </c>
      <c r="CB43" s="4">
        <f>SUM(BY43:CA43)</f>
        <v>2042253.8</v>
      </c>
      <c r="CC43" s="153">
        <f>BX43-CB43</f>
        <v>0</v>
      </c>
      <c r="CD43" s="70">
        <f>K43+L43+AV43-AW43</f>
        <v>-159239.24999999997</v>
      </c>
      <c r="CE43" s="72">
        <f>CD43+W43-AS43</f>
        <v>-159239.24999999997</v>
      </c>
      <c r="CF43" s="72">
        <f>BR43-BP43</f>
        <v>135328.1000000001</v>
      </c>
      <c r="CG43" s="72">
        <f>AU43-AM43-AT43-AS43</f>
        <v>1399852.65</v>
      </c>
      <c r="CH43" s="72">
        <f>I43-AG43+AY43+AH43+BQ43</f>
        <v>34367.15</v>
      </c>
      <c r="CI43" s="35">
        <f>CH43+K43</f>
        <v>155794.25</v>
      </c>
      <c r="CJ43" s="57">
        <f>IF(CF43=0,"-",(CD43/CF43))</f>
        <v>-1.1766902069858356</v>
      </c>
      <c r="CK43" s="57">
        <f>IF(CF43=0,"-",(CE43/CF43))</f>
        <v>-1.1766902069858356</v>
      </c>
      <c r="CL43" s="148">
        <f>IF(CG43=0,"-",(CD43/CG43*1))</f>
        <v>-0.11375429406802208</v>
      </c>
      <c r="CM43" s="148">
        <f>IF(CE43=0,"-",(CE43/CG43))</f>
        <v>-0.11375429406802208</v>
      </c>
      <c r="CN43" s="148">
        <f>IF(CG43=0,"-",(CH43/CG43))</f>
        <v>0.02455054823091559</v>
      </c>
      <c r="CO43" s="148">
        <f>IF(CG43=0,"-",(CI43/CG43))</f>
        <v>0.11129332076486766</v>
      </c>
      <c r="CP43" s="148">
        <f>IF(BU43+K43+L43=0,"-",((K43+L43)/(BU43+K43+L43)))</f>
        <v>0.14047037355507738</v>
      </c>
      <c r="CQ43" s="148">
        <f>IF(BU43+K43+L43=0,"-",((K43)/(BU43+K43+L43)))</f>
        <v>0.14047037355507738</v>
      </c>
      <c r="CR43" s="149">
        <f>IF(CE43=0,"-",(CS43/CE43))</f>
        <v>5.16426320772046</v>
      </c>
      <c r="CS43" s="72">
        <f>BT43-BY43</f>
        <v>-822353.4000000001</v>
      </c>
      <c r="CT43" s="76">
        <f>Y43-K43-L43-V43</f>
        <v>1560591.9</v>
      </c>
      <c r="CU43" s="76">
        <f>AU43-AR43</f>
        <v>1401352.65</v>
      </c>
      <c r="CV43" s="76">
        <f>CU43-CT43</f>
        <v>-159239.25</v>
      </c>
      <c r="CW43" s="76">
        <f>-V43+AR43</f>
        <v>0</v>
      </c>
      <c r="CX43" s="76">
        <f>CV43+CW43</f>
        <v>-159239.25</v>
      </c>
      <c r="CY43" s="76">
        <f>CX43-K43-L43</f>
        <v>-280666.35</v>
      </c>
      <c r="CZ43" s="76">
        <f>BR43-BP43</f>
        <v>135328.1000000001</v>
      </c>
      <c r="DA43" s="76">
        <f>K43+L43</f>
        <v>121427.1</v>
      </c>
      <c r="DB43" s="76">
        <f>-CZ43+DA43+CY43</f>
        <v>-294567.3500000001</v>
      </c>
      <c r="DC43" s="76">
        <f>-BP43-DA43</f>
        <v>-756527.5499999999</v>
      </c>
      <c r="DD43" s="76">
        <f>DB43+DC43+BR43</f>
        <v>-280666.34999999986</v>
      </c>
      <c r="DE43" s="76">
        <f>Z43+AA43+AB43</f>
        <v>560789.4</v>
      </c>
      <c r="DF43" s="76">
        <f>CS43/B43</f>
        <v>-781.7047528517112</v>
      </c>
      <c r="DG43" s="76">
        <f>CH43/B43</f>
        <v>32.66839353612168</v>
      </c>
      <c r="DH43" s="76">
        <f>DE43/B43</f>
        <v>533.0697718631179</v>
      </c>
      <c r="DI43" s="77">
        <f>CZ43/B43</f>
        <v>128.6388783269963</v>
      </c>
      <c r="DJ43" s="72">
        <f>DB43/B43</f>
        <v>-280.0069866920153</v>
      </c>
      <c r="DK43" s="151">
        <f>CA43-BW43-BU43</f>
        <v>-822353.4</v>
      </c>
      <c r="DL43" s="72">
        <v>21</v>
      </c>
      <c r="DM43" s="72">
        <v>83</v>
      </c>
      <c r="DN43" s="63">
        <v>0</v>
      </c>
    </row>
    <row r="44" spans="1:118" ht="12.75">
      <c r="A44" s="3" t="s">
        <v>222</v>
      </c>
      <c r="B44" s="134">
        <f>B13+B16</f>
        <v>948</v>
      </c>
      <c r="G44" s="129">
        <v>790536.4</v>
      </c>
      <c r="H44" s="41">
        <v>136742.75</v>
      </c>
      <c r="I44" s="41">
        <v>8442.65</v>
      </c>
      <c r="J44" s="41">
        <v>0</v>
      </c>
      <c r="K44" s="41">
        <v>206305</v>
      </c>
      <c r="L44" s="41">
        <v>300000</v>
      </c>
      <c r="M44" s="41">
        <f>SUM(K44:L44)</f>
        <v>506305</v>
      </c>
      <c r="N44" s="41">
        <v>0</v>
      </c>
      <c r="O44" s="41">
        <v>307028.15</v>
      </c>
      <c r="P44" s="41">
        <v>26677.55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1775732.5</v>
      </c>
      <c r="Z44" s="41">
        <v>248909.95</v>
      </c>
      <c r="AA44" s="41">
        <v>0</v>
      </c>
      <c r="AB44" s="41">
        <v>0</v>
      </c>
      <c r="AC44" s="41">
        <v>27436.95</v>
      </c>
      <c r="AD44" s="41">
        <v>0</v>
      </c>
      <c r="AE44" s="41">
        <f>SUM(Z44:AD44)</f>
        <v>276346.9</v>
      </c>
      <c r="AF44" s="41">
        <v>0</v>
      </c>
      <c r="AG44" s="41">
        <v>36.1</v>
      </c>
      <c r="AH44" s="41">
        <v>0</v>
      </c>
      <c r="AI44" s="41">
        <v>30237.8</v>
      </c>
      <c r="AJ44" s="41">
        <v>747033.9</v>
      </c>
      <c r="AK44" s="41">
        <v>480</v>
      </c>
      <c r="AL44" s="41">
        <v>315774.2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1369908.9</v>
      </c>
      <c r="AV44" s="4">
        <v>0</v>
      </c>
      <c r="AW44" s="4">
        <v>405823.6</v>
      </c>
      <c r="AX44" s="153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173249.55</v>
      </c>
      <c r="BU44" s="4">
        <v>1115905.6</v>
      </c>
      <c r="BV44" s="4">
        <v>0</v>
      </c>
      <c r="BW44" s="4">
        <v>405823.6</v>
      </c>
      <c r="BX44" s="4">
        <f>SUM(BT44:BW44)</f>
        <v>1694978.75</v>
      </c>
      <c r="BY44" s="4">
        <v>1533612.8</v>
      </c>
      <c r="BZ44" s="4">
        <v>0</v>
      </c>
      <c r="CA44" s="4">
        <v>161365.95</v>
      </c>
      <c r="CB44" s="4">
        <f>SUM(BY44:CA44)</f>
        <v>1694978.75</v>
      </c>
      <c r="CC44" s="153">
        <f>BX44-CB44</f>
        <v>0</v>
      </c>
      <c r="CD44" s="70">
        <f>K44+L44+AV44-AW44</f>
        <v>100481.40000000002</v>
      </c>
      <c r="CE44" s="72">
        <f>CD44+W44-AS44</f>
        <v>100481.40000000002</v>
      </c>
      <c r="CF44" s="72">
        <f>BR44-BP44</f>
        <v>0</v>
      </c>
      <c r="CG44" s="72">
        <f>AU44-AM44-AT44-AS44</f>
        <v>1369908.9</v>
      </c>
      <c r="CH44" s="72">
        <f>I44-AG44+AY44+AH44+BQ44</f>
        <v>8406.55</v>
      </c>
      <c r="CI44" s="35">
        <f>CH44+K44</f>
        <v>214711.55</v>
      </c>
      <c r="CJ44" s="57" t="str">
        <f>IF(CF44=0,"-",(CD44/CF44))</f>
        <v>-</v>
      </c>
      <c r="CK44" s="57" t="str">
        <f>IF(CF44=0,"-",(CE44/CF44))</f>
        <v>-</v>
      </c>
      <c r="CL44" s="148">
        <f>IF(CG44=0,"-",(CD44/CG44*1))</f>
        <v>0.07334896502971842</v>
      </c>
      <c r="CM44" s="148">
        <f>IF(CE44=0,"-",(CE44/CG44))</f>
        <v>0.07334896502971842</v>
      </c>
      <c r="CN44" s="148">
        <f>IF(CG44=0,"-",(CH44/CG44))</f>
        <v>0.006136575943115633</v>
      </c>
      <c r="CO44" s="148">
        <f>IF(CG44=0,"-",(CI44/CG44))</f>
        <v>0.15673418137512649</v>
      </c>
      <c r="CP44" s="148">
        <f>IF(BU44+K44+L44=0,"-",((K44+L44)/(BU44+K44+L44)))</f>
        <v>0.31210805797964825</v>
      </c>
      <c r="CQ44" s="148">
        <f>IF(BU44+K44+L44=0,"-",((K44)/(BU44+K44+L44)))</f>
        <v>0.12717522620059318</v>
      </c>
      <c r="CR44" s="149">
        <f>IF(CE44=0,"-",(CS44/CE44))</f>
        <v>-13.538458361447987</v>
      </c>
      <c r="CS44" s="72">
        <f>BT44-BY44</f>
        <v>-1360363.25</v>
      </c>
      <c r="CT44" s="76">
        <f>Y44-K44-L44-V44</f>
        <v>1269427.5</v>
      </c>
      <c r="CU44" s="76">
        <f>AU44-AR44</f>
        <v>1369908.9</v>
      </c>
      <c r="CV44" s="76">
        <f>CU44-CT44</f>
        <v>100481.3999999999</v>
      </c>
      <c r="CW44" s="76">
        <f>-V44+AR44</f>
        <v>0</v>
      </c>
      <c r="CX44" s="76">
        <f>CV44+CW44</f>
        <v>100481.3999999999</v>
      </c>
      <c r="CY44" s="76">
        <f>CX44-K44-L44</f>
        <v>-405823.6000000001</v>
      </c>
      <c r="CZ44" s="76">
        <f>BR44-BP44</f>
        <v>0</v>
      </c>
      <c r="DA44" s="76">
        <f>K44+L44</f>
        <v>506305</v>
      </c>
      <c r="DB44" s="76">
        <f>-CZ44+DA44+CY44</f>
        <v>100481.3999999999</v>
      </c>
      <c r="DC44" s="76">
        <f>-BP44-DA44</f>
        <v>-506305</v>
      </c>
      <c r="DD44" s="76">
        <f>DB44+DC44+BR44</f>
        <v>-405823.6000000001</v>
      </c>
      <c r="DE44" s="76">
        <f>Z44+AA44+AB44</f>
        <v>248909.95</v>
      </c>
      <c r="DF44" s="76">
        <f>CS44/B44</f>
        <v>-1434.9823312236288</v>
      </c>
      <c r="DG44" s="76">
        <f>CH44/B44</f>
        <v>8.867668776371307</v>
      </c>
      <c r="DH44" s="76">
        <f>DE44/B44</f>
        <v>262.5632383966245</v>
      </c>
      <c r="DI44" s="77">
        <f>CZ44/B44</f>
        <v>0</v>
      </c>
      <c r="DJ44" s="72">
        <f>DB44/B44</f>
        <v>105.99303797468345</v>
      </c>
      <c r="DK44" s="151">
        <f>CA44-BW44-BU44</f>
        <v>-1360363.25</v>
      </c>
      <c r="DL44" s="72">
        <v>34</v>
      </c>
      <c r="DM44" s="72">
        <v>82</v>
      </c>
      <c r="DN44" s="63">
        <v>0</v>
      </c>
    </row>
    <row r="46" spans="1:118" ht="12.75">
      <c r="A46" s="3" t="s">
        <v>252</v>
      </c>
      <c r="B46" s="134">
        <f>B8</f>
        <v>644</v>
      </c>
      <c r="C46" s="141"/>
      <c r="D46" s="141"/>
      <c r="E46" s="141"/>
      <c r="F46" s="141"/>
      <c r="G46" s="129">
        <v>9792.9</v>
      </c>
      <c r="H46" s="41">
        <v>47901.15</v>
      </c>
      <c r="I46" s="41">
        <v>1874.95</v>
      </c>
      <c r="J46" s="41">
        <v>0</v>
      </c>
      <c r="K46" s="41">
        <v>134968.9</v>
      </c>
      <c r="L46" s="41">
        <v>0</v>
      </c>
      <c r="M46" s="41">
        <f>SUM(K46:L46)</f>
        <v>134968.9</v>
      </c>
      <c r="N46" s="41">
        <v>0</v>
      </c>
      <c r="O46" s="41">
        <v>321405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515942.9</v>
      </c>
      <c r="Z46" s="41">
        <v>180780.45</v>
      </c>
      <c r="AA46" s="41">
        <v>49915.7</v>
      </c>
      <c r="AB46" s="41">
        <v>0</v>
      </c>
      <c r="AC46" s="41">
        <v>18638.6</v>
      </c>
      <c r="AD46" s="41">
        <v>0</v>
      </c>
      <c r="AE46" s="41">
        <f>SUM(Z46:AD46)</f>
        <v>249334.75000000003</v>
      </c>
      <c r="AF46" s="41">
        <v>0</v>
      </c>
      <c r="AG46" s="41">
        <v>172.85</v>
      </c>
      <c r="AH46" s="41">
        <v>0</v>
      </c>
      <c r="AI46" s="41">
        <v>28919</v>
      </c>
      <c r="AJ46" s="41">
        <v>39643.9</v>
      </c>
      <c r="AK46" s="41">
        <v>2277.55</v>
      </c>
      <c r="AL46" s="41">
        <v>10872.7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331220.7500000001</v>
      </c>
      <c r="AV46" s="4">
        <v>0</v>
      </c>
      <c r="AW46" s="4">
        <v>184722.15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32641.1</v>
      </c>
      <c r="BU46" s="4">
        <v>143700</v>
      </c>
      <c r="BV46" s="4">
        <v>0</v>
      </c>
      <c r="BW46" s="4">
        <f>184722.15-73163.25</f>
        <v>111558.9</v>
      </c>
      <c r="BX46" s="4">
        <f>SUM(BT46:BW46)</f>
        <v>287900</v>
      </c>
      <c r="BY46" s="4">
        <v>287900</v>
      </c>
      <c r="BZ46" s="4">
        <v>0</v>
      </c>
      <c r="CA46" s="4">
        <v>0</v>
      </c>
      <c r="CB46" s="4">
        <f>SUM(BY46:CA46)</f>
        <v>287900</v>
      </c>
      <c r="CC46" s="4">
        <f>BX46-CB46</f>
        <v>0</v>
      </c>
      <c r="CD46" s="70">
        <f>K46+L46+AV46-AW46</f>
        <v>-49753.25</v>
      </c>
      <c r="CE46" s="72">
        <f>CD46+W46-AS46</f>
        <v>-49753.25</v>
      </c>
      <c r="CF46" s="72">
        <f>BR46-BP46</f>
        <v>0</v>
      </c>
      <c r="CG46" s="72">
        <f>AU46-AM46-AT46-AS46</f>
        <v>331220.7500000001</v>
      </c>
      <c r="CH46" s="72">
        <f>I46-AG46+AY46+AH46+BQ46</f>
        <v>1702.1000000000001</v>
      </c>
      <c r="CI46" s="35">
        <f>CH46+K46</f>
        <v>136671</v>
      </c>
      <c r="CJ46" s="57" t="str">
        <f>IF(CF46=0,"-",(CD46/CF46))</f>
        <v>-</v>
      </c>
      <c r="CK46" s="57" t="str">
        <f>IF(CF46=0,"-",(CE46/CF46))</f>
        <v>-</v>
      </c>
      <c r="CL46" s="148">
        <f>IF(CG46=0,"-",(CD46/CG46*1))</f>
        <v>-0.15021175454738261</v>
      </c>
      <c r="CM46" s="148">
        <f>IF(CE46=0,"-",(CE46/CG46))</f>
        <v>-0.15021175454738261</v>
      </c>
      <c r="CN46" s="148">
        <f>IF(CG46=0,"-",(CH46/CG46))</f>
        <v>0.005138868866156482</v>
      </c>
      <c r="CO46" s="148">
        <f>IF(CG46=0,"-",(CI46/CG46))</f>
        <v>0.41262813395597936</v>
      </c>
      <c r="CP46" s="148">
        <f>IF(BU46+K46+L46=0,"-",((K46+L46)/(BU46+K46+L46)))</f>
        <v>0.48433427626836</v>
      </c>
      <c r="CQ46" s="148">
        <f>IF(BU46+K46+L46=0,"-",((K46)/(BU46+K46+L46)))</f>
        <v>0.48433427626836</v>
      </c>
      <c r="CR46" s="149">
        <f>IF(CE46=0,"-",(CS46/CE46))</f>
        <v>5.130497002708366</v>
      </c>
      <c r="CS46" s="72">
        <f>BT46-BY46</f>
        <v>-255258.9</v>
      </c>
      <c r="CT46" s="76">
        <f>Y46-K46-L46-V46</f>
        <v>380974</v>
      </c>
      <c r="CU46" s="76">
        <f>AU46-AR46</f>
        <v>331220.7500000001</v>
      </c>
      <c r="CV46" s="76">
        <f>CU46-CT46</f>
        <v>-49753.24999999988</v>
      </c>
      <c r="CW46" s="76">
        <f>-V46+AR46</f>
        <v>0</v>
      </c>
      <c r="CX46" s="76">
        <f>CV46+CW46</f>
        <v>-49753.24999999988</v>
      </c>
      <c r="CY46" s="76">
        <f>CX46-K46-L46</f>
        <v>-184722.14999999988</v>
      </c>
      <c r="CZ46" s="76">
        <f>BR46-BP46</f>
        <v>0</v>
      </c>
      <c r="DA46" s="76">
        <f>K46+L46</f>
        <v>134968.9</v>
      </c>
      <c r="DB46" s="76">
        <f>-CZ46+DA46+CY46</f>
        <v>-49753.24999999988</v>
      </c>
      <c r="DC46" s="76">
        <f>-BP46-DA46</f>
        <v>-134968.9</v>
      </c>
      <c r="DD46" s="76">
        <f>DB46+DC46+BR46</f>
        <v>-184722.14999999988</v>
      </c>
      <c r="DE46" s="76">
        <f>Z46+AA46+AB46</f>
        <v>230696.15000000002</v>
      </c>
      <c r="DF46" s="76">
        <f>CS46/B46</f>
        <v>-396.36475155279504</v>
      </c>
      <c r="DG46" s="76">
        <f>CH46/B46</f>
        <v>2.6430124223602487</v>
      </c>
      <c r="DH46" s="76">
        <f>DE46/B46</f>
        <v>358.22383540372675</v>
      </c>
      <c r="DI46" s="77">
        <f>CZ46/B46</f>
        <v>0</v>
      </c>
      <c r="DJ46" s="72">
        <f>DB46/B46</f>
        <v>-77.2565993788818</v>
      </c>
      <c r="DK46" s="151">
        <f>CA46-BW46-BU46</f>
        <v>-255258.9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370</v>
      </c>
      <c r="C47" s="141"/>
      <c r="D47" s="141"/>
      <c r="E47" s="141"/>
      <c r="F47" s="141"/>
      <c r="G47" s="129">
        <f>160+1200+2000+265.7</f>
        <v>3625.7</v>
      </c>
      <c r="H47" s="41">
        <f>930+50+557.2+78.95+900+13503.05+28450+2100+7535.95+43702.2+296.55</f>
        <v>98103.9</v>
      </c>
      <c r="I47" s="41">
        <f>638.6</f>
        <v>638.6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f>80655.45+110528.35+937.5+11250+11956.9</f>
        <v>215328.19999999998</v>
      </c>
      <c r="P47" s="41">
        <f>14934.15</f>
        <v>14934.15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f>SUM(R47:V47)</f>
        <v>0</v>
      </c>
      <c r="X47" s="41">
        <v>0</v>
      </c>
      <c r="Y47" s="41">
        <f>SUM(G47:X47)-M47-W47</f>
        <v>332630.55</v>
      </c>
      <c r="Z47" s="41">
        <f>186530.45</f>
        <v>186530.45</v>
      </c>
      <c r="AA47" s="41">
        <v>0</v>
      </c>
      <c r="AB47" s="41">
        <v>0</v>
      </c>
      <c r="AC47" s="41">
        <f>10708.5</f>
        <v>10708.5</v>
      </c>
      <c r="AD47" s="41">
        <v>0</v>
      </c>
      <c r="AE47" s="41">
        <f>SUM(Z47:AD47)</f>
        <v>197238.95</v>
      </c>
      <c r="AF47" s="41">
        <v>0</v>
      </c>
      <c r="AG47" s="41">
        <f>43200+469.5+287.35</f>
        <v>43956.85</v>
      </c>
      <c r="AH47" s="41">
        <v>0</v>
      </c>
      <c r="AI47" s="41">
        <f>1706</f>
        <v>1706</v>
      </c>
      <c r="AJ47" s="41">
        <v>0</v>
      </c>
      <c r="AK47" s="41">
        <v>0</v>
      </c>
      <c r="AL47" s="41">
        <f>-67.75+21851.1</f>
        <v>21783.35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v>0</v>
      </c>
      <c r="AU47" s="4">
        <f>SUM(Z47:AT47)-AE47-AH47-AS47</f>
        <v>264685.14999999997</v>
      </c>
      <c r="AV47" s="4">
        <v>0</v>
      </c>
      <c r="AW47" s="4">
        <f>106100.4-38155</f>
        <v>67945.4</v>
      </c>
      <c r="AX47" s="153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v>48155.3</v>
      </c>
      <c r="BU47" s="4">
        <v>542140</v>
      </c>
      <c r="BV47" s="4">
        <v>0</v>
      </c>
      <c r="BW47" s="4">
        <v>106100.4</v>
      </c>
      <c r="BX47" s="4">
        <f>SUM(BT47:BW47)</f>
        <v>696395.7000000001</v>
      </c>
      <c r="BY47" s="4">
        <v>582034.3</v>
      </c>
      <c r="BZ47" s="4">
        <v>0</v>
      </c>
      <c r="CA47" s="4">
        <v>114361.4</v>
      </c>
      <c r="CB47" s="4">
        <f>SUM(BY47:CA47)</f>
        <v>696395.7000000001</v>
      </c>
      <c r="CC47" s="4">
        <f>BX47-CB47</f>
        <v>0</v>
      </c>
      <c r="CD47" s="70">
        <f>K47+L47+AV47-AW47</f>
        <v>-67945.4</v>
      </c>
      <c r="CE47" s="72">
        <f>CD47+W47-AS47</f>
        <v>-67945.4</v>
      </c>
      <c r="CF47" s="72">
        <f>BR47-BP47</f>
        <v>0</v>
      </c>
      <c r="CG47" s="72">
        <f>AU47-AM47-AT47-AS47</f>
        <v>264685.14999999997</v>
      </c>
      <c r="CH47" s="72">
        <f>I47-AG47+AY47+AH47+BQ47</f>
        <v>-43318.25</v>
      </c>
      <c r="CI47" s="35">
        <f>CH47+K47</f>
        <v>-43318.25</v>
      </c>
      <c r="CJ47" s="57" t="str">
        <f>IF(CF47=0,"-",(CD47/CF47))</f>
        <v>-</v>
      </c>
      <c r="CK47" s="57" t="str">
        <f>IF(CF47=0,"-",(CE47/CF47))</f>
        <v>-</v>
      </c>
      <c r="CL47" s="148">
        <f>IF(CG47=0,"-",(CD47/CG47*1))</f>
        <v>-0.25670272775031017</v>
      </c>
      <c r="CM47" s="148">
        <f>IF(CE47=0,"-",(CE47/CG47))</f>
        <v>-0.25670272775031017</v>
      </c>
      <c r="CN47" s="148">
        <f>IF(CG47=0,"-",(CH47/CG47))</f>
        <v>-0.16365954040111433</v>
      </c>
      <c r="CO47" s="148">
        <f>IF(CG47=0,"-",(CI47/CG47))</f>
        <v>-0.16365954040111433</v>
      </c>
      <c r="CP47" s="148">
        <f>IF(BU47+K47+L47=0,"-",((K47+L47)/(BU47+K47+L47)))</f>
        <v>0</v>
      </c>
      <c r="CQ47" s="148">
        <f>IF(BU47+K47+L47=0,"-",((K47)/(BU47+K47+L47)))</f>
        <v>0</v>
      </c>
      <c r="CR47" s="149">
        <f>IF(CE47=0,"-",(CS47/CE47))</f>
        <v>7.857470851595546</v>
      </c>
      <c r="CS47" s="72">
        <f>BT47-BY47</f>
        <v>-533879</v>
      </c>
      <c r="CT47" s="76">
        <f>Y47-K47-L47-V47</f>
        <v>332630.55</v>
      </c>
      <c r="CU47" s="76">
        <f>AU47-AR47</f>
        <v>264685.14999999997</v>
      </c>
      <c r="CV47" s="76">
        <f>CU47-CT47</f>
        <v>-67945.40000000002</v>
      </c>
      <c r="CW47" s="76">
        <f>-V47+AR47</f>
        <v>0</v>
      </c>
      <c r="CX47" s="76">
        <f>CV47+CW47</f>
        <v>-67945.40000000002</v>
      </c>
      <c r="CY47" s="76">
        <f>CX47-K47-L47</f>
        <v>-67945.40000000002</v>
      </c>
      <c r="CZ47" s="76">
        <f>BR47-BP47</f>
        <v>0</v>
      </c>
      <c r="DA47" s="76">
        <f>K47+L47</f>
        <v>0</v>
      </c>
      <c r="DB47" s="76">
        <f>-CZ47+DA47+CY47</f>
        <v>-67945.40000000002</v>
      </c>
      <c r="DC47" s="76">
        <f>-BP47-DA47</f>
        <v>0</v>
      </c>
      <c r="DD47" s="76">
        <f>DB47+DC47+BR47</f>
        <v>-67945.40000000002</v>
      </c>
      <c r="DE47" s="76">
        <f>Z47+AA47+AB47</f>
        <v>186530.45</v>
      </c>
      <c r="DF47" s="76">
        <f>CS47/B47</f>
        <v>-1442.9162162162163</v>
      </c>
      <c r="DG47" s="76">
        <f>CH47/B47</f>
        <v>-117.07635135135135</v>
      </c>
      <c r="DH47" s="76">
        <f>DE47/B47</f>
        <v>504.1363513513514</v>
      </c>
      <c r="DI47" s="77">
        <f>CZ47/B47</f>
        <v>0</v>
      </c>
      <c r="DJ47" s="72">
        <f>DB47/B47</f>
        <v>-183.63621621621627</v>
      </c>
      <c r="DK47" s="151">
        <f>CA47-BW47-BU47</f>
        <v>-533879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745</v>
      </c>
      <c r="C48" s="141"/>
      <c r="D48" s="141"/>
      <c r="E48" s="141"/>
      <c r="F48" s="141"/>
      <c r="G48" s="129">
        <v>511612.5</v>
      </c>
      <c r="H48" s="41">
        <v>163365.9</v>
      </c>
      <c r="I48" s="41">
        <v>10417.25</v>
      </c>
      <c r="J48" s="41">
        <v>0</v>
      </c>
      <c r="K48" s="41">
        <v>158453.5</v>
      </c>
      <c r="L48" s="41">
        <v>0</v>
      </c>
      <c r="M48" s="41">
        <f>SUM(K48:L48)</f>
        <v>158453.5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843849.15</v>
      </c>
      <c r="Z48" s="41">
        <v>267296.55</v>
      </c>
      <c r="AA48" s="41">
        <v>211271.3</v>
      </c>
      <c r="AB48" s="41">
        <v>0</v>
      </c>
      <c r="AC48" s="41">
        <v>21561.75</v>
      </c>
      <c r="AD48" s="41">
        <v>0</v>
      </c>
      <c r="AE48" s="41">
        <f>SUM(Z48:AD48)</f>
        <v>500129.6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500129.6</v>
      </c>
      <c r="AV48" s="4">
        <v>0</v>
      </c>
      <c r="AW48" s="4">
        <v>343719.55</v>
      </c>
      <c r="AX48" s="15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8610.82</v>
      </c>
      <c r="BU48" s="4">
        <v>0</v>
      </c>
      <c r="BV48" s="4">
        <v>0</v>
      </c>
      <c r="BW48" s="4">
        <v>343719.55</v>
      </c>
      <c r="BX48" s="4">
        <f>SUM(BT48:BW48)</f>
        <v>352330.37</v>
      </c>
      <c r="BY48" s="4">
        <v>249268</v>
      </c>
      <c r="BZ48" s="4">
        <v>0</v>
      </c>
      <c r="CA48" s="4">
        <v>103062.37</v>
      </c>
      <c r="CB48" s="4">
        <f>SUM(BY48:CA48)</f>
        <v>352330.37</v>
      </c>
      <c r="CC48" s="4">
        <f>BX48-CB48</f>
        <v>0</v>
      </c>
      <c r="CD48" s="70">
        <f>K48+L48+AV48-AW48</f>
        <v>-185266.05</v>
      </c>
      <c r="CE48" s="72">
        <f>CD48+W48-AS48</f>
        <v>-185266.05</v>
      </c>
      <c r="CF48" s="72">
        <f>BR48-BP48</f>
        <v>0</v>
      </c>
      <c r="CG48" s="72">
        <f>AU48-AM48-AT48-AS48</f>
        <v>500129.6</v>
      </c>
      <c r="CH48" s="72">
        <f>I48-AG48+AY48+AH48+BQ48</f>
        <v>10417.25</v>
      </c>
      <c r="CI48" s="35">
        <f>CH48+K48</f>
        <v>168870.75</v>
      </c>
      <c r="CJ48" s="57" t="str">
        <f>IF(CF48=0,"-",(CD48/CF48))</f>
        <v>-</v>
      </c>
      <c r="CK48" s="57" t="str">
        <f>IF(CF48=0,"-",(CE48/CF48))</f>
        <v>-</v>
      </c>
      <c r="CL48" s="148">
        <f>IF(CG48=0,"-",(CD48/CG48*1))</f>
        <v>-0.37043608296729486</v>
      </c>
      <c r="CM48" s="148">
        <f>IF(CE48=0,"-",(CE48/CG48))</f>
        <v>-0.37043608296729486</v>
      </c>
      <c r="CN48" s="148">
        <f>IF(CG48=0,"-",(CH48/CG48))</f>
        <v>0.02082910109699566</v>
      </c>
      <c r="CO48" s="148">
        <f>IF(CG48=0,"-",(CI48/CG48))</f>
        <v>0.3376539800883611</v>
      </c>
      <c r="CP48" s="148">
        <f>IF(BU48+K48+L48=0,"-",((K48+L48)/(BU48+K48+L48)))</f>
        <v>1</v>
      </c>
      <c r="CQ48" s="148">
        <f>IF(BU48+K48+L48=0,"-",((K48)/(BU48+K48+L48)))</f>
        <v>1</v>
      </c>
      <c r="CR48" s="149">
        <f>IF(CE48=0,"-",(CS48/CE48))</f>
        <v>1.2989815457284268</v>
      </c>
      <c r="CS48" s="72">
        <f>BT48-BY48</f>
        <v>-240657.18</v>
      </c>
      <c r="CT48" s="76">
        <f>Y48-K48-L48-V48</f>
        <v>685395.65</v>
      </c>
      <c r="CU48" s="76">
        <f>AU48-AR48</f>
        <v>500129.6</v>
      </c>
      <c r="CV48" s="76">
        <f>CU48-CT48</f>
        <v>-185266.05000000005</v>
      </c>
      <c r="CW48" s="76">
        <f>-V48+AR48</f>
        <v>0</v>
      </c>
      <c r="CX48" s="76">
        <f>CV48+CW48</f>
        <v>-185266.05000000005</v>
      </c>
      <c r="CY48" s="76">
        <f>CX48-K48-L48</f>
        <v>-343719.55000000005</v>
      </c>
      <c r="CZ48" s="76">
        <f>BR48-BP48</f>
        <v>0</v>
      </c>
      <c r="DA48" s="76">
        <f>K48+L48</f>
        <v>158453.5</v>
      </c>
      <c r="DB48" s="76">
        <f>-CZ48+DA48+CY48</f>
        <v>-185266.05000000005</v>
      </c>
      <c r="DC48" s="76">
        <f>-BP48-DA48</f>
        <v>-158453.5</v>
      </c>
      <c r="DD48" s="76">
        <f>DB48+DC48+BR48</f>
        <v>-343719.55000000005</v>
      </c>
      <c r="DE48" s="76">
        <f>Z48+AA48+AB48</f>
        <v>478567.85</v>
      </c>
      <c r="DF48" s="76">
        <f>CS48/B48</f>
        <v>-323.0297718120805</v>
      </c>
      <c r="DG48" s="76">
        <f>CH48/B48</f>
        <v>13.982885906040268</v>
      </c>
      <c r="DH48" s="76">
        <f>DE48/B48</f>
        <v>642.3729530201342</v>
      </c>
      <c r="DI48" s="77">
        <f>CZ48/B48</f>
        <v>0</v>
      </c>
      <c r="DJ48" s="72">
        <f>DB48/B48</f>
        <v>-248.6792617449665</v>
      </c>
      <c r="DK48" s="151">
        <f>CA48-BW48-BU48</f>
        <v>-240657.18</v>
      </c>
      <c r="DL48" s="72">
        <v>17</v>
      </c>
      <c r="DM48" s="72">
        <v>75</v>
      </c>
      <c r="DN48" s="63">
        <v>0</v>
      </c>
    </row>
    <row r="49" spans="1:118" ht="12.75">
      <c r="A49" s="3" t="s">
        <v>255</v>
      </c>
      <c r="B49" s="134">
        <f>B8+B17</f>
        <v>1014</v>
      </c>
      <c r="C49" s="141"/>
      <c r="D49" s="141"/>
      <c r="E49" s="141"/>
      <c r="F49" s="141"/>
      <c r="G49" s="129">
        <v>706235.95</v>
      </c>
      <c r="H49" s="41">
        <v>83889.6</v>
      </c>
      <c r="I49" s="41">
        <v>8449.6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8273.8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518.7</v>
      </c>
      <c r="Y49" s="41">
        <f>SUM(G49:X49)-M49-W49</f>
        <v>807367.6499999999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315211.4</v>
      </c>
      <c r="AK49" s="41">
        <v>194745.9</v>
      </c>
      <c r="AL49" s="41">
        <v>284570.8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12839.55</v>
      </c>
      <c r="AU49" s="4">
        <f>SUM(Z49:AT49)-AE49-AH49-AS49</f>
        <v>807367.6500000001</v>
      </c>
      <c r="AV49" s="4">
        <v>0</v>
      </c>
      <c r="AW49" s="4">
        <v>0</v>
      </c>
      <c r="AX49" s="4">
        <f>Y49-AU49+AV49-AW49</f>
        <v>-2.3283064365386963E-10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270580.8</v>
      </c>
      <c r="BU49" s="4">
        <v>0</v>
      </c>
      <c r="BV49" s="4">
        <v>0</v>
      </c>
      <c r="BW49" s="4">
        <v>0</v>
      </c>
      <c r="BX49" s="4">
        <f>SUM(BT49:BW49)</f>
        <v>270580.8</v>
      </c>
      <c r="BY49" s="4">
        <v>0</v>
      </c>
      <c r="BZ49" s="4">
        <v>270580.8</v>
      </c>
      <c r="CA49" s="4">
        <v>0</v>
      </c>
      <c r="CB49" s="4">
        <f>SUM(BY49:CA49)</f>
        <v>270580.8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794528.1000000001</v>
      </c>
      <c r="CH49" s="72">
        <f>I49-AG49+AY49+AH49+BQ49</f>
        <v>8449.6</v>
      </c>
      <c r="CI49" s="35">
        <f>CH49+K49</f>
        <v>8449.6</v>
      </c>
      <c r="CJ49" s="57" t="str">
        <f>IF(CF49=0,"-",(CD49/CF49))</f>
        <v>-</v>
      </c>
      <c r="CK49" s="57" t="str">
        <f>IF(CF49=0,"-",(CE49/CF49))</f>
        <v>-</v>
      </c>
      <c r="CL49" s="148">
        <f>IF(CG49=0,"-",(CD49/CG49*1))</f>
        <v>0</v>
      </c>
      <c r="CM49" s="148" t="str">
        <f>IF(CE49=0,"-",(CE49/CG49))</f>
        <v>-</v>
      </c>
      <c r="CN49" s="148">
        <f>IF(CG49=0,"-",(CH49/CG49))</f>
        <v>0.010634740294270272</v>
      </c>
      <c r="CO49" s="148">
        <f>IF(CG49=0,"-",(CI49/CG49))</f>
        <v>0.010634740294270272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270580.8</v>
      </c>
      <c r="CT49" s="76">
        <f>Y49-K49-L49-V49</f>
        <v>807367.6499999999</v>
      </c>
      <c r="CU49" s="76">
        <f>AU49-AR49</f>
        <v>807367.6500000001</v>
      </c>
      <c r="CV49" s="76">
        <f>CU49-CT49</f>
        <v>0</v>
      </c>
      <c r="CW49" s="76">
        <f>-V49+AR49</f>
        <v>0</v>
      </c>
      <c r="CX49" s="76">
        <f>CV49+CW49</f>
        <v>0</v>
      </c>
      <c r="CY49" s="76">
        <f>CX49-K49-L49</f>
        <v>0</v>
      </c>
      <c r="CZ49" s="76">
        <f>BR49-BP49</f>
        <v>0</v>
      </c>
      <c r="DA49" s="76">
        <f>K49+L49</f>
        <v>0</v>
      </c>
      <c r="DB49" s="76">
        <f>-CZ49+DA49+CY49</f>
        <v>0</v>
      </c>
      <c r="DC49" s="76">
        <f>-BP49-DA49</f>
        <v>0</v>
      </c>
      <c r="DD49" s="76">
        <f>DB49+DC49+BR49</f>
        <v>0</v>
      </c>
      <c r="DE49" s="76">
        <f>Z49+AA49+AB49</f>
        <v>0</v>
      </c>
      <c r="DF49" s="76">
        <f>CS49/B49</f>
        <v>266.84497041420116</v>
      </c>
      <c r="DG49" s="76">
        <f>CH49/B49</f>
        <v>8.33293885601578</v>
      </c>
      <c r="DH49" s="76">
        <f>DE49/B49</f>
        <v>0</v>
      </c>
      <c r="DI49" s="77">
        <f>CZ49/B49</f>
        <v>0</v>
      </c>
      <c r="DJ49" s="72">
        <f>DB49/B49</f>
        <v>0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1759</v>
      </c>
      <c r="C50" s="141"/>
      <c r="D50" s="141"/>
      <c r="E50" s="141"/>
      <c r="F50" s="141"/>
      <c r="G50" s="129">
        <v>1203183.15</v>
      </c>
      <c r="H50" s="41">
        <v>115383.8</v>
      </c>
      <c r="I50" s="41">
        <v>14538.15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4330.05</v>
      </c>
      <c r="Y50" s="41">
        <f>SUM(G50:X50)-M50-W50</f>
        <v>1337435.15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306455.5</v>
      </c>
      <c r="AK50" s="41">
        <v>449922.1</v>
      </c>
      <c r="AL50" s="41">
        <v>581057.55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1337435.15</v>
      </c>
      <c r="AV50" s="4">
        <v>0</v>
      </c>
      <c r="AW50" s="4">
        <v>0</v>
      </c>
      <c r="AX50" s="4">
        <f>Y50-AU50+AV50-AW50</f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596284.5</v>
      </c>
      <c r="BU50" s="4"/>
      <c r="BV50" s="4">
        <v>0</v>
      </c>
      <c r="BW50" s="4">
        <v>0</v>
      </c>
      <c r="BX50" s="4">
        <f>SUM(BT50:BW50)</f>
        <v>596284.5</v>
      </c>
      <c r="BY50" s="4">
        <v>591883.35</v>
      </c>
      <c r="BZ50" s="4">
        <v>0</v>
      </c>
      <c r="CA50" s="4">
        <v>4401.15</v>
      </c>
      <c r="CB50" s="4">
        <f>SUM(BY50:CA50)</f>
        <v>596284.5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1337435.15</v>
      </c>
      <c r="CH50" s="72">
        <f>I50-AG50+AY50+AH50+BQ50</f>
        <v>14538.15</v>
      </c>
      <c r="CI50" s="35">
        <f>CH50+K50</f>
        <v>14538.15</v>
      </c>
      <c r="CJ50" s="57" t="str">
        <f>IF(CF50=0,"-",(CD50/CF50))</f>
        <v>-</v>
      </c>
      <c r="CK50" s="57" t="str">
        <f>IF(CF50=0,"-",(CE50/CF50))</f>
        <v>-</v>
      </c>
      <c r="CL50" s="148">
        <f>IF(CG50=0,"-",(CD50/CG50*1))</f>
        <v>0</v>
      </c>
      <c r="CM50" s="148" t="str">
        <f>IF(CE50=0,"-",(CE50/CG50))</f>
        <v>-</v>
      </c>
      <c r="CN50" s="148">
        <f>IF(CG50=0,"-",(CH50/CG50))</f>
        <v>0.01087017191076517</v>
      </c>
      <c r="CO50" s="148">
        <f>IF(CG50=0,"-",(CI50/CG50))</f>
        <v>0.01087017191076517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4401.150000000023</v>
      </c>
      <c r="CT50" s="76">
        <f>Y50-K50-L50-V50</f>
        <v>1337435.15</v>
      </c>
      <c r="CU50" s="76">
        <f>AU50-AR50</f>
        <v>1337435.15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>
        <f>CS50/B50</f>
        <v>2.5020750426378755</v>
      </c>
      <c r="DG50" s="76">
        <f>CH50/B50</f>
        <v>8.265008527572483</v>
      </c>
      <c r="DH50" s="76">
        <f>DE50/B50</f>
        <v>0</v>
      </c>
      <c r="DI50" s="77">
        <f>CZ50/B50</f>
        <v>0</v>
      </c>
      <c r="DJ50" s="72">
        <f>DB50/B50</f>
        <v>0</v>
      </c>
      <c r="DK50" s="151">
        <f>CA50-BW50-BU50</f>
        <v>4401.15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1419</v>
      </c>
      <c r="C60" s="60">
        <f aca="true" t="shared" si="113" ref="C60:BN60">C10+C20+C26</f>
        <v>4332447</v>
      </c>
      <c r="D60" s="60">
        <f>(D10+D20+D26)/3</f>
        <v>3071.933333333333</v>
      </c>
      <c r="E60" s="60">
        <f>(E10+E20+E26)/3</f>
        <v>85.95333333333332</v>
      </c>
      <c r="F60" s="60">
        <f>(F10+F20+F26)/3</f>
        <v>10</v>
      </c>
      <c r="G60" s="18">
        <f t="shared" si="113"/>
        <v>1300857.4</v>
      </c>
      <c r="H60" s="18">
        <f t="shared" si="113"/>
        <v>199156.85</v>
      </c>
      <c r="I60" s="18">
        <f t="shared" si="113"/>
        <v>63264.600000000006</v>
      </c>
      <c r="J60" s="18">
        <f t="shared" si="113"/>
        <v>0</v>
      </c>
      <c r="K60" s="18">
        <f t="shared" si="113"/>
        <v>237910.6</v>
      </c>
      <c r="L60" s="18">
        <f t="shared" si="113"/>
        <v>0</v>
      </c>
      <c r="M60" s="18">
        <f t="shared" si="113"/>
        <v>237910.6</v>
      </c>
      <c r="N60" s="18">
        <f t="shared" si="113"/>
        <v>0</v>
      </c>
      <c r="O60" s="18">
        <f t="shared" si="113"/>
        <v>453556.55</v>
      </c>
      <c r="P60" s="18">
        <f t="shared" si="113"/>
        <v>7227</v>
      </c>
      <c r="Q60" s="18">
        <f t="shared" si="113"/>
        <v>0</v>
      </c>
      <c r="R60" s="18">
        <f t="shared" si="113"/>
        <v>0</v>
      </c>
      <c r="S60" s="18">
        <f t="shared" si="113"/>
        <v>0</v>
      </c>
      <c r="T60" s="18">
        <f t="shared" si="113"/>
        <v>0</v>
      </c>
      <c r="U60" s="18">
        <f t="shared" si="113"/>
        <v>0</v>
      </c>
      <c r="V60" s="18">
        <f t="shared" si="113"/>
        <v>0</v>
      </c>
      <c r="W60" s="18">
        <f t="shared" si="113"/>
        <v>0</v>
      </c>
      <c r="X60" s="18">
        <f t="shared" si="113"/>
        <v>0</v>
      </c>
      <c r="Y60" s="18">
        <f t="shared" si="113"/>
        <v>2261973</v>
      </c>
      <c r="Z60" s="18">
        <f t="shared" si="113"/>
        <v>489179.95</v>
      </c>
      <c r="AA60" s="18">
        <f t="shared" si="113"/>
        <v>16795.1</v>
      </c>
      <c r="AB60" s="18">
        <f t="shared" si="113"/>
        <v>0</v>
      </c>
      <c r="AC60" s="18">
        <f t="shared" si="113"/>
        <v>41068.600000000006</v>
      </c>
      <c r="AD60" s="18">
        <f t="shared" si="113"/>
        <v>0</v>
      </c>
      <c r="AE60" s="18">
        <f t="shared" si="113"/>
        <v>547043.65</v>
      </c>
      <c r="AF60" s="18">
        <f t="shared" si="113"/>
        <v>0</v>
      </c>
      <c r="AG60" s="18">
        <f t="shared" si="113"/>
        <v>1301.05</v>
      </c>
      <c r="AH60" s="18">
        <f t="shared" si="113"/>
        <v>0</v>
      </c>
      <c r="AI60" s="18">
        <f t="shared" si="113"/>
        <v>4232.4</v>
      </c>
      <c r="AJ60" s="18">
        <f t="shared" si="113"/>
        <v>798871.35</v>
      </c>
      <c r="AK60" s="18">
        <f t="shared" si="113"/>
        <v>27278.9</v>
      </c>
      <c r="AL60" s="18">
        <f t="shared" si="113"/>
        <v>576616.05</v>
      </c>
      <c r="AM60" s="18">
        <f t="shared" si="113"/>
        <v>0</v>
      </c>
      <c r="AN60" s="18">
        <f t="shared" si="113"/>
        <v>0</v>
      </c>
      <c r="AO60" s="18">
        <f t="shared" si="113"/>
        <v>0</v>
      </c>
      <c r="AP60" s="18">
        <f t="shared" si="113"/>
        <v>0</v>
      </c>
      <c r="AQ60" s="18">
        <f t="shared" si="113"/>
        <v>0</v>
      </c>
      <c r="AR60" s="18">
        <f t="shared" si="113"/>
        <v>0</v>
      </c>
      <c r="AS60" s="18">
        <f t="shared" si="113"/>
        <v>0</v>
      </c>
      <c r="AT60" s="18">
        <f t="shared" si="113"/>
        <v>0</v>
      </c>
      <c r="AU60" s="18">
        <f t="shared" si="113"/>
        <v>1955343.4</v>
      </c>
      <c r="AV60" s="18">
        <f t="shared" si="113"/>
        <v>0</v>
      </c>
      <c r="AW60" s="18">
        <f t="shared" si="113"/>
        <v>306629.6</v>
      </c>
      <c r="AX60" s="18">
        <f t="shared" si="113"/>
        <v>1.4006218407303095E-10</v>
      </c>
      <c r="AY60" s="18">
        <f t="shared" si="113"/>
        <v>0</v>
      </c>
      <c r="AZ60" s="18">
        <f t="shared" si="113"/>
        <v>0</v>
      </c>
      <c r="BA60" s="18">
        <f t="shared" si="113"/>
        <v>0</v>
      </c>
      <c r="BB60" s="18">
        <f t="shared" si="113"/>
        <v>0</v>
      </c>
      <c r="BC60" s="18">
        <f t="shared" si="113"/>
        <v>0</v>
      </c>
      <c r="BD60" s="18">
        <f t="shared" si="113"/>
        <v>0</v>
      </c>
      <c r="BE60" s="18">
        <f t="shared" si="113"/>
        <v>0</v>
      </c>
      <c r="BF60" s="18">
        <f t="shared" si="113"/>
        <v>0</v>
      </c>
      <c r="BG60" s="18">
        <f t="shared" si="113"/>
        <v>0</v>
      </c>
      <c r="BH60" s="18">
        <f t="shared" si="113"/>
        <v>0</v>
      </c>
      <c r="BI60" s="18">
        <f t="shared" si="113"/>
        <v>0</v>
      </c>
      <c r="BJ60" s="18">
        <f t="shared" si="113"/>
        <v>0</v>
      </c>
      <c r="BK60" s="18">
        <f t="shared" si="113"/>
        <v>0</v>
      </c>
      <c r="BL60" s="18">
        <f t="shared" si="113"/>
        <v>0</v>
      </c>
      <c r="BM60" s="18">
        <f t="shared" si="113"/>
        <v>0</v>
      </c>
      <c r="BN60" s="18">
        <f t="shared" si="113"/>
        <v>0</v>
      </c>
      <c r="BO60" s="18">
        <f aca="true" t="shared" si="114" ref="BO60:CI60">BO10+BO20+BO26</f>
        <v>0</v>
      </c>
      <c r="BP60" s="18">
        <f t="shared" si="114"/>
        <v>0</v>
      </c>
      <c r="BQ60" s="18">
        <f t="shared" si="114"/>
        <v>0</v>
      </c>
      <c r="BR60" s="18">
        <f t="shared" si="114"/>
        <v>0</v>
      </c>
      <c r="BS60" s="18">
        <f t="shared" si="114"/>
        <v>0</v>
      </c>
      <c r="BT60" s="18">
        <f t="shared" si="114"/>
        <v>740271.35</v>
      </c>
      <c r="BU60" s="18">
        <f t="shared" si="114"/>
        <v>2015921.15</v>
      </c>
      <c r="BV60" s="18">
        <f t="shared" si="114"/>
        <v>0</v>
      </c>
      <c r="BW60" s="18">
        <f t="shared" si="114"/>
        <v>582665.31</v>
      </c>
      <c r="BX60" s="18">
        <f t="shared" si="114"/>
        <v>3338857.81</v>
      </c>
      <c r="BY60" s="18">
        <f t="shared" si="114"/>
        <v>3338857.81</v>
      </c>
      <c r="BZ60" s="18">
        <f t="shared" si="114"/>
        <v>0</v>
      </c>
      <c r="CA60" s="18">
        <f t="shared" si="114"/>
        <v>0</v>
      </c>
      <c r="CB60" s="18">
        <f t="shared" si="114"/>
        <v>3338857.81</v>
      </c>
      <c r="CC60" s="18">
        <f t="shared" si="114"/>
        <v>0</v>
      </c>
      <c r="CD60" s="18">
        <f t="shared" si="114"/>
        <v>-68719.00000000001</v>
      </c>
      <c r="CE60" s="18">
        <f t="shared" si="114"/>
        <v>-68719.00000000001</v>
      </c>
      <c r="CF60" s="18">
        <f t="shared" si="114"/>
        <v>0</v>
      </c>
      <c r="CG60" s="18">
        <f t="shared" si="114"/>
        <v>1955343.4</v>
      </c>
      <c r="CH60" s="18">
        <f t="shared" si="114"/>
        <v>61963.55</v>
      </c>
      <c r="CI60" s="18">
        <f t="shared" si="114"/>
        <v>299874.15</v>
      </c>
      <c r="CJ60" s="156" t="e">
        <f aca="true" t="shared" si="115" ref="CJ60:CJ65">CD60/CF60</f>
        <v>#DIV/0!</v>
      </c>
      <c r="CK60" s="156" t="e">
        <f aca="true" t="shared" si="116" ref="CK60:CK65">CE60/CF60</f>
        <v>#DIV/0!</v>
      </c>
      <c r="CL60" s="156">
        <f aca="true" t="shared" si="117" ref="CL60:CL65">CD60/CG60*1</f>
        <v>-0.03514421047474322</v>
      </c>
      <c r="CM60" s="156">
        <f aca="true" t="shared" si="118" ref="CM60:CM65">CE60/CG60</f>
        <v>-0.03514421047474322</v>
      </c>
      <c r="CN60" s="156">
        <f aca="true" t="shared" si="119" ref="CN60:CN65">CH60/CG60</f>
        <v>0.031689344183737755</v>
      </c>
      <c r="CO60" s="156">
        <f aca="true" t="shared" si="120" ref="CO60:CO65">CI60/CG60</f>
        <v>0.15336137376176484</v>
      </c>
      <c r="CP60" s="156">
        <f aca="true" t="shared" si="121" ref="CP60:CP65">(K60+L60)/(BU60+K60+L60)</f>
        <v>0.10555827869582546</v>
      </c>
      <c r="CQ60" s="156">
        <f aca="true" t="shared" si="122" ref="CQ60:CQ65">(K60)/(BU60+K60+L60)</f>
        <v>0.10555827869582546</v>
      </c>
      <c r="CR60" s="18">
        <f aca="true" t="shared" si="123" ref="CR60:CR65">CS60/CE60</f>
        <v>37.81467221583549</v>
      </c>
      <c r="CS60" s="18">
        <f aca="true" t="shared" si="124" ref="CS60:CS65">BT60-BY60</f>
        <v>-2598586.46</v>
      </c>
      <c r="CT60" s="18">
        <f aca="true" t="shared" si="125" ref="CT60:CT65">Y60-K60-L60-V60</f>
        <v>2024062.4</v>
      </c>
      <c r="CU60" s="18">
        <f aca="true" t="shared" si="126" ref="CU60:CU65">AU60-AR60</f>
        <v>1955343.4</v>
      </c>
      <c r="CV60" s="18">
        <f aca="true" t="shared" si="127" ref="CV60:CV65">CU60-CT60</f>
        <v>-68719</v>
      </c>
      <c r="CW60" s="18">
        <f aca="true" t="shared" si="128" ref="CW60:CW65">-V60+AR60</f>
        <v>0</v>
      </c>
      <c r="CX60" s="18">
        <f aca="true" t="shared" si="129" ref="CX60:CX65">CV60+CW60</f>
        <v>-68719</v>
      </c>
      <c r="CY60" s="18">
        <f aca="true" t="shared" si="130" ref="CY60:CY65">CX60-K60-L60</f>
        <v>-306629.6</v>
      </c>
      <c r="CZ60" s="18">
        <f aca="true" t="shared" si="131" ref="CZ60:CZ65">BR60-BP60</f>
        <v>0</v>
      </c>
      <c r="DA60" s="18">
        <f aca="true" t="shared" si="132" ref="DA60:DA65">K60+L60</f>
        <v>237910.6</v>
      </c>
      <c r="DB60" s="18">
        <f aca="true" t="shared" si="133" ref="DB60:DB65">-CZ60+DA60+CY60</f>
        <v>-68718.99999999997</v>
      </c>
      <c r="DC60" s="18">
        <f aca="true" t="shared" si="134" ref="DC60:DC65">-BP60-DA60</f>
        <v>-237910.6</v>
      </c>
      <c r="DD60" s="18">
        <f aca="true" t="shared" si="135" ref="DD60:DD65">DB60+DC60+BR60</f>
        <v>-306629.6</v>
      </c>
      <c r="DE60" s="18">
        <f aca="true" t="shared" si="136" ref="DE60:DE65">Z60+AA60+AB60</f>
        <v>505975.05</v>
      </c>
      <c r="DF60" s="18">
        <f aca="true" t="shared" si="137" ref="DF60:DF65">CS60/B60</f>
        <v>-1831.280098661029</v>
      </c>
      <c r="DG60" s="18">
        <f aca="true" t="shared" si="138" ref="DG60:DG65">CH60/B60</f>
        <v>43.667054263565895</v>
      </c>
      <c r="DH60" s="18">
        <f aca="true" t="shared" si="139" ref="DH60:DH65">DE60/B60</f>
        <v>356.5715644820296</v>
      </c>
      <c r="DI60" s="18">
        <f aca="true" t="shared" si="140" ref="DI60:DI65">CZ60/B60</f>
        <v>0</v>
      </c>
      <c r="DJ60" s="18">
        <f aca="true" t="shared" si="141" ref="DJ60:DJ65">DB60/B60</f>
        <v>-48.427766032417175</v>
      </c>
      <c r="DK60" s="18">
        <f aca="true" t="shared" si="142" ref="DK60:DK65">CA60-BW60-BU60</f>
        <v>-2598586.46</v>
      </c>
    </row>
    <row r="61" spans="1:115" ht="12.75">
      <c r="A61" s="3" t="s">
        <v>260</v>
      </c>
      <c r="B61" s="60">
        <f>B4+B19+B21+B24+B25</f>
        <v>14473</v>
      </c>
      <c r="C61" s="60">
        <f aca="true" t="shared" si="143" ref="C61:BN61">C4+C19+C21+C24+C25</f>
        <v>52814562</v>
      </c>
      <c r="D61" s="60">
        <f>(D4+D19+D21+D24+D25)/5</f>
        <v>3521.642</v>
      </c>
      <c r="E61" s="60">
        <f>(E4+E19+E21+E24+E25)/5</f>
        <v>98.53600000000002</v>
      </c>
      <c r="F61" s="60">
        <f>(F4+F19+F21+F24+F25)/5</f>
        <v>9.8</v>
      </c>
      <c r="G61" s="18">
        <f t="shared" si="143"/>
        <v>14927775.950000001</v>
      </c>
      <c r="H61" s="18">
        <f t="shared" si="143"/>
        <v>2229316.92</v>
      </c>
      <c r="I61" s="18">
        <f t="shared" si="143"/>
        <v>687557.95</v>
      </c>
      <c r="J61" s="18">
        <f t="shared" si="143"/>
        <v>0</v>
      </c>
      <c r="K61" s="18">
        <f t="shared" si="143"/>
        <v>907107.2</v>
      </c>
      <c r="L61" s="18">
        <f t="shared" si="143"/>
        <v>273596.4</v>
      </c>
      <c r="M61" s="18">
        <f t="shared" si="143"/>
        <v>1180703.6</v>
      </c>
      <c r="N61" s="18">
        <f t="shared" si="143"/>
        <v>0</v>
      </c>
      <c r="O61" s="18">
        <f t="shared" si="143"/>
        <v>2223899.7199999997</v>
      </c>
      <c r="P61" s="18">
        <f t="shared" si="143"/>
        <v>1391.45</v>
      </c>
      <c r="Q61" s="18">
        <f t="shared" si="143"/>
        <v>4900</v>
      </c>
      <c r="R61" s="18">
        <f t="shared" si="143"/>
        <v>0</v>
      </c>
      <c r="S61" s="18">
        <f t="shared" si="143"/>
        <v>0</v>
      </c>
      <c r="T61" s="18">
        <f t="shared" si="143"/>
        <v>0</v>
      </c>
      <c r="U61" s="18">
        <f t="shared" si="143"/>
        <v>0</v>
      </c>
      <c r="V61" s="18">
        <f t="shared" si="143"/>
        <v>0</v>
      </c>
      <c r="W61" s="18">
        <f t="shared" si="143"/>
        <v>0</v>
      </c>
      <c r="X61" s="18">
        <f t="shared" si="143"/>
        <v>2360232.4</v>
      </c>
      <c r="Y61" s="18">
        <f t="shared" si="143"/>
        <v>23615777.990000002</v>
      </c>
      <c r="Z61" s="18">
        <f t="shared" si="143"/>
        <v>5550990.8</v>
      </c>
      <c r="AA61" s="18">
        <f t="shared" si="143"/>
        <v>800149.15</v>
      </c>
      <c r="AB61" s="18">
        <f t="shared" si="143"/>
        <v>9673.2</v>
      </c>
      <c r="AC61" s="18">
        <f t="shared" si="143"/>
        <v>361831.85</v>
      </c>
      <c r="AD61" s="18">
        <f t="shared" si="143"/>
        <v>0</v>
      </c>
      <c r="AE61" s="18">
        <f t="shared" si="143"/>
        <v>6722645</v>
      </c>
      <c r="AF61" s="18">
        <f t="shared" si="143"/>
        <v>0</v>
      </c>
      <c r="AG61" s="18">
        <f t="shared" si="143"/>
        <v>97773.59999999999</v>
      </c>
      <c r="AH61" s="18">
        <f t="shared" si="143"/>
        <v>0</v>
      </c>
      <c r="AI61" s="18">
        <f t="shared" si="143"/>
        <v>171982.8</v>
      </c>
      <c r="AJ61" s="18">
        <f t="shared" si="143"/>
        <v>6283307.149999999</v>
      </c>
      <c r="AK61" s="18">
        <f t="shared" si="143"/>
        <v>1178270.15</v>
      </c>
      <c r="AL61" s="18">
        <f t="shared" si="143"/>
        <v>6411233.8</v>
      </c>
      <c r="AM61" s="18">
        <f t="shared" si="143"/>
        <v>1250.1</v>
      </c>
      <c r="AN61" s="18">
        <f t="shared" si="143"/>
        <v>0</v>
      </c>
      <c r="AO61" s="18">
        <f t="shared" si="143"/>
        <v>13450.4</v>
      </c>
      <c r="AP61" s="18">
        <f t="shared" si="143"/>
        <v>6254.85</v>
      </c>
      <c r="AQ61" s="18">
        <f t="shared" si="143"/>
        <v>0</v>
      </c>
      <c r="AR61" s="18">
        <f t="shared" si="143"/>
        <v>0</v>
      </c>
      <c r="AS61" s="18">
        <f t="shared" si="143"/>
        <v>19705.25</v>
      </c>
      <c r="AT61" s="18">
        <f t="shared" si="143"/>
        <v>2520964.45</v>
      </c>
      <c r="AU61" s="18">
        <f t="shared" si="143"/>
        <v>23407132.299999993</v>
      </c>
      <c r="AV61" s="18">
        <f t="shared" si="143"/>
        <v>59755.73</v>
      </c>
      <c r="AW61" s="18">
        <f t="shared" si="143"/>
        <v>268401.42</v>
      </c>
      <c r="AX61" s="18">
        <f t="shared" si="143"/>
        <v>6.933987606316805E-09</v>
      </c>
      <c r="AY61" s="18">
        <f t="shared" si="143"/>
        <v>31050.1</v>
      </c>
      <c r="AZ61" s="18">
        <f t="shared" si="143"/>
        <v>1552931.55</v>
      </c>
      <c r="BA61" s="18">
        <f t="shared" si="143"/>
        <v>0</v>
      </c>
      <c r="BB61" s="18">
        <f t="shared" si="143"/>
        <v>0</v>
      </c>
      <c r="BC61" s="18">
        <f t="shared" si="143"/>
        <v>0</v>
      </c>
      <c r="BD61" s="18">
        <f t="shared" si="143"/>
        <v>1938.7</v>
      </c>
      <c r="BE61" s="18">
        <f t="shared" si="143"/>
        <v>2500000</v>
      </c>
      <c r="BF61" s="18">
        <f t="shared" si="143"/>
        <v>4054870.25</v>
      </c>
      <c r="BG61" s="18">
        <f t="shared" si="143"/>
        <v>41818.5</v>
      </c>
      <c r="BH61" s="18">
        <f t="shared" si="143"/>
        <v>0</v>
      </c>
      <c r="BI61" s="18">
        <f t="shared" si="143"/>
        <v>3167</v>
      </c>
      <c r="BJ61" s="18">
        <f t="shared" si="143"/>
        <v>0</v>
      </c>
      <c r="BK61" s="18">
        <f t="shared" si="143"/>
        <v>3000</v>
      </c>
      <c r="BL61" s="18">
        <f t="shared" si="143"/>
        <v>0</v>
      </c>
      <c r="BM61" s="18">
        <f t="shared" si="143"/>
        <v>33960</v>
      </c>
      <c r="BN61" s="18">
        <f t="shared" si="143"/>
        <v>0</v>
      </c>
      <c r="BO61" s="18">
        <f aca="true" t="shared" si="144" ref="BO61:CI61">BO4+BO19+BO21+BO24+BO25</f>
        <v>81945.5</v>
      </c>
      <c r="BP61" s="18">
        <f t="shared" si="144"/>
        <v>81945.5</v>
      </c>
      <c r="BQ61" s="18">
        <f t="shared" si="144"/>
        <v>0</v>
      </c>
      <c r="BR61" s="18">
        <f t="shared" si="144"/>
        <v>4054870.25</v>
      </c>
      <c r="BS61" s="18">
        <f t="shared" si="144"/>
        <v>0</v>
      </c>
      <c r="BT61" s="18">
        <f t="shared" si="144"/>
        <v>7382712.44</v>
      </c>
      <c r="BU61" s="18">
        <f t="shared" si="144"/>
        <v>16988022.1</v>
      </c>
      <c r="BV61" s="18">
        <f t="shared" si="144"/>
        <v>0</v>
      </c>
      <c r="BW61" s="18">
        <f t="shared" si="144"/>
        <v>1143301.44</v>
      </c>
      <c r="BX61" s="18">
        <f t="shared" si="144"/>
        <v>25514035.98</v>
      </c>
      <c r="BY61" s="18">
        <f t="shared" si="144"/>
        <v>24687888.749999996</v>
      </c>
      <c r="BZ61" s="18">
        <f t="shared" si="144"/>
        <v>62000</v>
      </c>
      <c r="CA61" s="18">
        <f t="shared" si="144"/>
        <v>764147.23</v>
      </c>
      <c r="CB61" s="18">
        <f t="shared" si="144"/>
        <v>25514035.98</v>
      </c>
      <c r="CC61" s="18">
        <f t="shared" si="144"/>
        <v>0</v>
      </c>
      <c r="CD61" s="18">
        <f t="shared" si="144"/>
        <v>972057.91</v>
      </c>
      <c r="CE61" s="18">
        <f t="shared" si="144"/>
        <v>952352.66</v>
      </c>
      <c r="CF61" s="18">
        <f t="shared" si="144"/>
        <v>3972924.75</v>
      </c>
      <c r="CG61" s="18">
        <f t="shared" si="144"/>
        <v>20865212.499999993</v>
      </c>
      <c r="CH61" s="18">
        <f t="shared" si="144"/>
        <v>620834.45</v>
      </c>
      <c r="CI61" s="18">
        <f t="shared" si="144"/>
        <v>1527941.6500000001</v>
      </c>
      <c r="CJ61" s="156">
        <f t="shared" si="115"/>
        <v>0.24467060696279233</v>
      </c>
      <c r="CK61" s="156">
        <f t="shared" si="116"/>
        <v>0.23971072193099052</v>
      </c>
      <c r="CL61" s="156">
        <f t="shared" si="117"/>
        <v>0.046587491500505944</v>
      </c>
      <c r="CM61" s="156">
        <f t="shared" si="118"/>
        <v>0.04564308463189629</v>
      </c>
      <c r="CN61" s="156">
        <f t="shared" si="119"/>
        <v>0.029754523228555672</v>
      </c>
      <c r="CO61" s="156">
        <f t="shared" si="120"/>
        <v>0.07322914396390647</v>
      </c>
      <c r="CP61" s="156">
        <f t="shared" si="121"/>
        <v>0.06498549317633212</v>
      </c>
      <c r="CQ61" s="156">
        <f t="shared" si="122"/>
        <v>0.04992684764897959</v>
      </c>
      <c r="CR61" s="18">
        <f t="shared" si="123"/>
        <v>-18.17097493065226</v>
      </c>
      <c r="CS61" s="18">
        <f t="shared" si="124"/>
        <v>-17305176.309999995</v>
      </c>
      <c r="CT61" s="18">
        <f t="shared" si="125"/>
        <v>22435074.390000004</v>
      </c>
      <c r="CU61" s="18">
        <f t="shared" si="126"/>
        <v>23407132.299999993</v>
      </c>
      <c r="CV61" s="18">
        <f t="shared" si="127"/>
        <v>972057.909999989</v>
      </c>
      <c r="CW61" s="18">
        <f t="shared" si="128"/>
        <v>0</v>
      </c>
      <c r="CX61" s="18">
        <f t="shared" si="129"/>
        <v>972057.909999989</v>
      </c>
      <c r="CY61" s="18">
        <f t="shared" si="130"/>
        <v>-208645.690000011</v>
      </c>
      <c r="CZ61" s="18">
        <f t="shared" si="131"/>
        <v>3972924.75</v>
      </c>
      <c r="DA61" s="18">
        <f t="shared" si="132"/>
        <v>1180703.6</v>
      </c>
      <c r="DB61" s="18">
        <f t="shared" si="133"/>
        <v>-3000866.840000011</v>
      </c>
      <c r="DC61" s="18">
        <f t="shared" si="134"/>
        <v>-1262649.1</v>
      </c>
      <c r="DD61" s="18">
        <f t="shared" si="135"/>
        <v>-208645.69000001065</v>
      </c>
      <c r="DE61" s="18">
        <f t="shared" si="136"/>
        <v>6360813.15</v>
      </c>
      <c r="DF61" s="18">
        <f t="shared" si="137"/>
        <v>-1195.686886616458</v>
      </c>
      <c r="DG61" s="18">
        <f t="shared" si="138"/>
        <v>42.89604435846058</v>
      </c>
      <c r="DH61" s="18">
        <f t="shared" si="139"/>
        <v>439.49513922476336</v>
      </c>
      <c r="DI61" s="18">
        <f t="shared" si="140"/>
        <v>274.5059593726249</v>
      </c>
      <c r="DJ61" s="18">
        <f t="shared" si="141"/>
        <v>-207.3424196780219</v>
      </c>
      <c r="DK61" s="18">
        <f t="shared" si="142"/>
        <v>-17367176.310000002</v>
      </c>
    </row>
    <row r="62" spans="1:115" ht="12.75">
      <c r="A62" s="3" t="s">
        <v>261</v>
      </c>
      <c r="B62" s="60">
        <f>B9+B11+B22+B27</f>
        <v>11838</v>
      </c>
      <c r="C62" s="60">
        <f aca="true" t="shared" si="145" ref="C62:BN62">C9+C11+C22+C27</f>
        <v>46223234</v>
      </c>
      <c r="D62" s="60">
        <f>(D9+D11+D22+D27)/4</f>
        <v>3638.7675</v>
      </c>
      <c r="E62" s="60">
        <f>(E9+E11+E22+E27)/4</f>
        <v>101.8125</v>
      </c>
      <c r="F62" s="60">
        <f>(F9+F11+F22+F27)/4</f>
        <v>13.25</v>
      </c>
      <c r="G62" s="18">
        <f t="shared" si="145"/>
        <v>8969323.25</v>
      </c>
      <c r="H62" s="18">
        <f t="shared" si="145"/>
        <v>1514106.45</v>
      </c>
      <c r="I62" s="18">
        <f t="shared" si="145"/>
        <v>350802.4</v>
      </c>
      <c r="J62" s="18">
        <f t="shared" si="145"/>
        <v>0</v>
      </c>
      <c r="K62" s="18">
        <f t="shared" si="145"/>
        <v>1275731.9500000002</v>
      </c>
      <c r="L62" s="18">
        <f t="shared" si="145"/>
        <v>431135.65</v>
      </c>
      <c r="M62" s="18">
        <f t="shared" si="145"/>
        <v>1706867.5999999999</v>
      </c>
      <c r="N62" s="18">
        <f t="shared" si="145"/>
        <v>0</v>
      </c>
      <c r="O62" s="18">
        <f t="shared" si="145"/>
        <v>3250363.3000000003</v>
      </c>
      <c r="P62" s="18">
        <f t="shared" si="145"/>
        <v>28020</v>
      </c>
      <c r="Q62" s="18">
        <f t="shared" si="145"/>
        <v>0</v>
      </c>
      <c r="R62" s="18">
        <f t="shared" si="145"/>
        <v>0</v>
      </c>
      <c r="S62" s="18">
        <f t="shared" si="145"/>
        <v>0</v>
      </c>
      <c r="T62" s="18">
        <f t="shared" si="145"/>
        <v>100000</v>
      </c>
      <c r="U62" s="18">
        <f t="shared" si="145"/>
        <v>0</v>
      </c>
      <c r="V62" s="18">
        <f t="shared" si="145"/>
        <v>0</v>
      </c>
      <c r="W62" s="18">
        <f t="shared" si="145"/>
        <v>100000</v>
      </c>
      <c r="X62" s="18">
        <f t="shared" si="145"/>
        <v>0</v>
      </c>
      <c r="Y62" s="18">
        <f t="shared" si="145"/>
        <v>15919483</v>
      </c>
      <c r="Z62" s="18">
        <f t="shared" si="145"/>
        <v>6470866.899999999</v>
      </c>
      <c r="AA62" s="18">
        <f t="shared" si="145"/>
        <v>569811.85</v>
      </c>
      <c r="AB62" s="18">
        <f t="shared" si="145"/>
        <v>0</v>
      </c>
      <c r="AC62" s="18">
        <f t="shared" si="145"/>
        <v>342614.4</v>
      </c>
      <c r="AD62" s="18">
        <f t="shared" si="145"/>
        <v>0</v>
      </c>
      <c r="AE62" s="18">
        <f t="shared" si="145"/>
        <v>7383293.15</v>
      </c>
      <c r="AF62" s="18">
        <f t="shared" si="145"/>
        <v>0</v>
      </c>
      <c r="AG62" s="18">
        <f t="shared" si="145"/>
        <v>588293.7499999999</v>
      </c>
      <c r="AH62" s="18">
        <f t="shared" si="145"/>
        <v>0</v>
      </c>
      <c r="AI62" s="18">
        <f t="shared" si="145"/>
        <v>846730.75</v>
      </c>
      <c r="AJ62" s="18">
        <f t="shared" si="145"/>
        <v>3621274.0999999996</v>
      </c>
      <c r="AK62" s="18">
        <f t="shared" si="145"/>
        <v>274601.95</v>
      </c>
      <c r="AL62" s="18">
        <f t="shared" si="145"/>
        <v>3090958</v>
      </c>
      <c r="AM62" s="18">
        <f t="shared" si="145"/>
        <v>0</v>
      </c>
      <c r="AN62" s="18">
        <f t="shared" si="145"/>
        <v>0</v>
      </c>
      <c r="AO62" s="18">
        <f t="shared" si="145"/>
        <v>0</v>
      </c>
      <c r="AP62" s="18">
        <f t="shared" si="145"/>
        <v>0</v>
      </c>
      <c r="AQ62" s="18">
        <f t="shared" si="145"/>
        <v>0</v>
      </c>
      <c r="AR62" s="18">
        <f t="shared" si="145"/>
        <v>0</v>
      </c>
      <c r="AS62" s="18">
        <f t="shared" si="145"/>
        <v>0</v>
      </c>
      <c r="AT62" s="18">
        <f t="shared" si="145"/>
        <v>86256</v>
      </c>
      <c r="AU62" s="18">
        <f t="shared" si="145"/>
        <v>15891407.7</v>
      </c>
      <c r="AV62" s="18">
        <f t="shared" si="145"/>
        <v>8657.35</v>
      </c>
      <c r="AW62" s="18">
        <f t="shared" si="145"/>
        <v>36732.65000000001</v>
      </c>
      <c r="AX62" s="18">
        <f t="shared" si="145"/>
        <v>4.4792614062316716E-11</v>
      </c>
      <c r="AY62" s="18">
        <f t="shared" si="145"/>
        <v>16039.800000000001</v>
      </c>
      <c r="AZ62" s="18">
        <f t="shared" si="145"/>
        <v>40000</v>
      </c>
      <c r="BA62" s="18">
        <f t="shared" si="145"/>
        <v>0</v>
      </c>
      <c r="BB62" s="18">
        <f t="shared" si="145"/>
        <v>0</v>
      </c>
      <c r="BC62" s="18">
        <f t="shared" si="145"/>
        <v>0</v>
      </c>
      <c r="BD62" s="18">
        <f t="shared" si="145"/>
        <v>0</v>
      </c>
      <c r="BE62" s="18">
        <f t="shared" si="145"/>
        <v>0</v>
      </c>
      <c r="BF62" s="18">
        <f t="shared" si="145"/>
        <v>40000</v>
      </c>
      <c r="BG62" s="18">
        <f t="shared" si="145"/>
        <v>0</v>
      </c>
      <c r="BH62" s="18">
        <f t="shared" si="145"/>
        <v>0</v>
      </c>
      <c r="BI62" s="18">
        <f t="shared" si="145"/>
        <v>0</v>
      </c>
      <c r="BJ62" s="18">
        <f t="shared" si="145"/>
        <v>0</v>
      </c>
      <c r="BK62" s="18">
        <f t="shared" si="145"/>
        <v>0</v>
      </c>
      <c r="BL62" s="18">
        <f t="shared" si="145"/>
        <v>0</v>
      </c>
      <c r="BM62" s="18">
        <f t="shared" si="145"/>
        <v>0</v>
      </c>
      <c r="BN62" s="18">
        <f t="shared" si="145"/>
        <v>0</v>
      </c>
      <c r="BO62" s="18">
        <f aca="true" t="shared" si="146" ref="BO62:CI62">BO9+BO11+BO22+BO27</f>
        <v>0</v>
      </c>
      <c r="BP62" s="18">
        <f t="shared" si="146"/>
        <v>0</v>
      </c>
      <c r="BQ62" s="18">
        <f t="shared" si="146"/>
        <v>0</v>
      </c>
      <c r="BR62" s="18">
        <f t="shared" si="146"/>
        <v>40000</v>
      </c>
      <c r="BS62" s="18">
        <f t="shared" si="146"/>
        <v>0</v>
      </c>
      <c r="BT62" s="18">
        <f t="shared" si="146"/>
        <v>6185119.449999999</v>
      </c>
      <c r="BU62" s="18">
        <f t="shared" si="146"/>
        <v>10526557.4</v>
      </c>
      <c r="BV62" s="18">
        <f t="shared" si="146"/>
        <v>0</v>
      </c>
      <c r="BW62" s="18">
        <f t="shared" si="146"/>
        <v>0</v>
      </c>
      <c r="BX62" s="18">
        <f t="shared" si="146"/>
        <v>16711676.85</v>
      </c>
      <c r="BY62" s="18">
        <f t="shared" si="146"/>
        <v>15023267.650000002</v>
      </c>
      <c r="BZ62" s="18">
        <f t="shared" si="146"/>
        <v>710191</v>
      </c>
      <c r="CA62" s="18">
        <f t="shared" si="146"/>
        <v>978218.2</v>
      </c>
      <c r="CB62" s="18">
        <f t="shared" si="146"/>
        <v>16711676.850000001</v>
      </c>
      <c r="CC62" s="18">
        <f t="shared" si="146"/>
        <v>0</v>
      </c>
      <c r="CD62" s="18">
        <f t="shared" si="146"/>
        <v>1678792.2999999998</v>
      </c>
      <c r="CE62" s="18">
        <f t="shared" si="146"/>
        <v>1778792.2999999998</v>
      </c>
      <c r="CF62" s="18">
        <f t="shared" si="146"/>
        <v>40000</v>
      </c>
      <c r="CG62" s="18">
        <f t="shared" si="146"/>
        <v>15805151.699999997</v>
      </c>
      <c r="CH62" s="18">
        <f t="shared" si="146"/>
        <v>-221451.5499999999</v>
      </c>
      <c r="CI62" s="18">
        <f t="shared" si="146"/>
        <v>1054280.4</v>
      </c>
      <c r="CJ62" s="156">
        <f t="shared" si="115"/>
        <v>41.969807499999995</v>
      </c>
      <c r="CK62" s="156">
        <f t="shared" si="116"/>
        <v>44.469807499999995</v>
      </c>
      <c r="CL62" s="156">
        <f t="shared" si="117"/>
        <v>0.10621804408242409</v>
      </c>
      <c r="CM62" s="156">
        <f t="shared" si="118"/>
        <v>0.11254509502746501</v>
      </c>
      <c r="CN62" s="156">
        <f t="shared" si="119"/>
        <v>-0.014011352387082747</v>
      </c>
      <c r="CO62" s="156">
        <f t="shared" si="120"/>
        <v>0.06670485801158113</v>
      </c>
      <c r="CP62" s="156">
        <f t="shared" si="121"/>
        <v>0.1395249163664305</v>
      </c>
      <c r="CQ62" s="156">
        <f t="shared" si="122"/>
        <v>0.10428248425931413</v>
      </c>
      <c r="CR62" s="18">
        <f t="shared" si="123"/>
        <v>-4.968622924666361</v>
      </c>
      <c r="CS62" s="18">
        <f t="shared" si="124"/>
        <v>-8838148.200000003</v>
      </c>
      <c r="CT62" s="18">
        <f t="shared" si="125"/>
        <v>14212615.4</v>
      </c>
      <c r="CU62" s="18">
        <f t="shared" si="126"/>
        <v>15891407.7</v>
      </c>
      <c r="CV62" s="18">
        <f t="shared" si="127"/>
        <v>1678792.2999999989</v>
      </c>
      <c r="CW62" s="18">
        <f t="shared" si="128"/>
        <v>0</v>
      </c>
      <c r="CX62" s="18">
        <f t="shared" si="129"/>
        <v>1678792.2999999989</v>
      </c>
      <c r="CY62" s="18">
        <f t="shared" si="130"/>
        <v>-28075.300000001327</v>
      </c>
      <c r="CZ62" s="18">
        <f t="shared" si="131"/>
        <v>40000</v>
      </c>
      <c r="DA62" s="18">
        <f t="shared" si="132"/>
        <v>1706867.6</v>
      </c>
      <c r="DB62" s="18">
        <f t="shared" si="133"/>
        <v>1638792.2999999989</v>
      </c>
      <c r="DC62" s="18">
        <f t="shared" si="134"/>
        <v>-1706867.6</v>
      </c>
      <c r="DD62" s="18">
        <f t="shared" si="135"/>
        <v>-28075.30000000121</v>
      </c>
      <c r="DE62" s="18">
        <f t="shared" si="136"/>
        <v>7040678.749999999</v>
      </c>
      <c r="DF62" s="18">
        <f t="shared" si="137"/>
        <v>-746.5913329954386</v>
      </c>
      <c r="DG62" s="18">
        <f t="shared" si="138"/>
        <v>-18.70683814833586</v>
      </c>
      <c r="DH62" s="18">
        <f t="shared" si="139"/>
        <v>594.7523863828349</v>
      </c>
      <c r="DI62" s="18">
        <f t="shared" si="140"/>
        <v>3.3789491468153403</v>
      </c>
      <c r="DJ62" s="18">
        <f t="shared" si="141"/>
        <v>138.43489609731364</v>
      </c>
      <c r="DK62" s="18">
        <f t="shared" si="142"/>
        <v>-9548339.200000001</v>
      </c>
    </row>
    <row r="63" spans="1:115" ht="12.75">
      <c r="A63" s="3" t="s">
        <v>262</v>
      </c>
      <c r="B63" s="60">
        <f>B7+B8+B17</f>
        <v>1759</v>
      </c>
      <c r="C63" s="60">
        <f aca="true" t="shared" si="147" ref="C63:BN63">C7+C8+C17</f>
        <v>4460864</v>
      </c>
      <c r="D63" s="60">
        <f>(D7+D8+D17)/3</f>
        <v>2609.6766666666667</v>
      </c>
      <c r="E63" s="60">
        <f>(E7+E8+E17)/3</f>
        <v>73.01666666666667</v>
      </c>
      <c r="F63" s="60">
        <f>(F7+F8+F17)/3</f>
        <v>10</v>
      </c>
      <c r="G63" s="18">
        <f t="shared" si="147"/>
        <v>2434450.2</v>
      </c>
      <c r="H63" s="18">
        <f t="shared" si="147"/>
        <v>508644.35000000003</v>
      </c>
      <c r="I63" s="18">
        <f t="shared" si="147"/>
        <v>35918.55</v>
      </c>
      <c r="J63" s="18">
        <f t="shared" si="147"/>
        <v>0</v>
      </c>
      <c r="K63" s="18">
        <f t="shared" si="147"/>
        <v>293422.4</v>
      </c>
      <c r="L63" s="18">
        <f t="shared" si="147"/>
        <v>0</v>
      </c>
      <c r="M63" s="18">
        <f t="shared" si="147"/>
        <v>293422.4</v>
      </c>
      <c r="N63" s="18">
        <f t="shared" si="147"/>
        <v>0</v>
      </c>
      <c r="O63" s="18">
        <f t="shared" si="147"/>
        <v>545007</v>
      </c>
      <c r="P63" s="18">
        <f t="shared" si="147"/>
        <v>14934.15</v>
      </c>
      <c r="Q63" s="18">
        <f t="shared" si="147"/>
        <v>0</v>
      </c>
      <c r="R63" s="18">
        <f t="shared" si="147"/>
        <v>0</v>
      </c>
      <c r="S63" s="18">
        <f t="shared" si="147"/>
        <v>0</v>
      </c>
      <c r="T63" s="18">
        <f t="shared" si="147"/>
        <v>0</v>
      </c>
      <c r="U63" s="18">
        <f t="shared" si="147"/>
        <v>0</v>
      </c>
      <c r="V63" s="18">
        <f t="shared" si="147"/>
        <v>0</v>
      </c>
      <c r="W63" s="18">
        <f t="shared" si="147"/>
        <v>0</v>
      </c>
      <c r="X63" s="18">
        <f t="shared" si="147"/>
        <v>4848.75</v>
      </c>
      <c r="Y63" s="18">
        <f t="shared" si="147"/>
        <v>3837225.4</v>
      </c>
      <c r="Z63" s="18">
        <f t="shared" si="147"/>
        <v>634607.45</v>
      </c>
      <c r="AA63" s="18">
        <f t="shared" si="147"/>
        <v>261187</v>
      </c>
      <c r="AB63" s="18">
        <f t="shared" si="147"/>
        <v>0</v>
      </c>
      <c r="AC63" s="18">
        <f t="shared" si="147"/>
        <v>50908.85</v>
      </c>
      <c r="AD63" s="18">
        <f t="shared" si="147"/>
        <v>0</v>
      </c>
      <c r="AE63" s="18">
        <f t="shared" si="147"/>
        <v>946703.3</v>
      </c>
      <c r="AF63" s="18">
        <f t="shared" si="147"/>
        <v>0</v>
      </c>
      <c r="AG63" s="18">
        <f t="shared" si="147"/>
        <v>44129.7</v>
      </c>
      <c r="AH63" s="18">
        <f t="shared" si="147"/>
        <v>0</v>
      </c>
      <c r="AI63" s="18">
        <f t="shared" si="147"/>
        <v>30625</v>
      </c>
      <c r="AJ63" s="18">
        <f t="shared" si="147"/>
        <v>661310.8</v>
      </c>
      <c r="AK63" s="18">
        <f t="shared" si="147"/>
        <v>646945.5499999999</v>
      </c>
      <c r="AL63" s="18">
        <f t="shared" si="147"/>
        <v>898284.4000000001</v>
      </c>
      <c r="AM63" s="18">
        <f t="shared" si="147"/>
        <v>0</v>
      </c>
      <c r="AN63" s="18">
        <f t="shared" si="147"/>
        <v>0</v>
      </c>
      <c r="AO63" s="18">
        <f t="shared" si="147"/>
        <v>0</v>
      </c>
      <c r="AP63" s="18">
        <f t="shared" si="147"/>
        <v>0</v>
      </c>
      <c r="AQ63" s="18">
        <f t="shared" si="147"/>
        <v>0</v>
      </c>
      <c r="AR63" s="18">
        <f t="shared" si="147"/>
        <v>0</v>
      </c>
      <c r="AS63" s="18">
        <f t="shared" si="147"/>
        <v>0</v>
      </c>
      <c r="AT63" s="18">
        <f t="shared" si="147"/>
        <v>12839.55</v>
      </c>
      <c r="AU63" s="18">
        <f t="shared" si="147"/>
        <v>3240838.3</v>
      </c>
      <c r="AV63" s="18">
        <f t="shared" si="147"/>
        <v>0</v>
      </c>
      <c r="AW63" s="18">
        <f t="shared" si="147"/>
        <v>596387.1</v>
      </c>
      <c r="AX63" s="18">
        <f t="shared" si="147"/>
        <v>1.4551915228366852E-10</v>
      </c>
      <c r="AY63" s="18">
        <f t="shared" si="147"/>
        <v>0</v>
      </c>
      <c r="AZ63" s="18">
        <f t="shared" si="147"/>
        <v>0</v>
      </c>
      <c r="BA63" s="18">
        <f t="shared" si="147"/>
        <v>0</v>
      </c>
      <c r="BB63" s="18">
        <f t="shared" si="147"/>
        <v>0</v>
      </c>
      <c r="BC63" s="18">
        <f t="shared" si="147"/>
        <v>0</v>
      </c>
      <c r="BD63" s="18">
        <f t="shared" si="147"/>
        <v>0</v>
      </c>
      <c r="BE63" s="18">
        <f t="shared" si="147"/>
        <v>0</v>
      </c>
      <c r="BF63" s="18">
        <f t="shared" si="147"/>
        <v>0</v>
      </c>
      <c r="BG63" s="18">
        <f t="shared" si="147"/>
        <v>0</v>
      </c>
      <c r="BH63" s="18">
        <f t="shared" si="147"/>
        <v>0</v>
      </c>
      <c r="BI63" s="18">
        <f t="shared" si="147"/>
        <v>0</v>
      </c>
      <c r="BJ63" s="18">
        <f t="shared" si="147"/>
        <v>0</v>
      </c>
      <c r="BK63" s="18">
        <f t="shared" si="147"/>
        <v>0</v>
      </c>
      <c r="BL63" s="18">
        <f t="shared" si="147"/>
        <v>0</v>
      </c>
      <c r="BM63" s="18">
        <f t="shared" si="147"/>
        <v>0</v>
      </c>
      <c r="BN63" s="18">
        <f t="shared" si="147"/>
        <v>0</v>
      </c>
      <c r="BO63" s="18">
        <f aca="true" t="shared" si="148" ref="BO63:CI63">BO7+BO8+BO17</f>
        <v>0</v>
      </c>
      <c r="BP63" s="18">
        <f t="shared" si="148"/>
        <v>0</v>
      </c>
      <c r="BQ63" s="18">
        <f t="shared" si="148"/>
        <v>0</v>
      </c>
      <c r="BR63" s="18">
        <f t="shared" si="148"/>
        <v>0</v>
      </c>
      <c r="BS63" s="18">
        <f t="shared" si="148"/>
        <v>0</v>
      </c>
      <c r="BT63" s="18">
        <f t="shared" si="148"/>
        <v>956272.52</v>
      </c>
      <c r="BU63" s="18">
        <f t="shared" si="148"/>
        <v>685840</v>
      </c>
      <c r="BV63" s="18">
        <f t="shared" si="148"/>
        <v>0</v>
      </c>
      <c r="BW63" s="18">
        <f t="shared" si="148"/>
        <v>561378.85</v>
      </c>
      <c r="BX63" s="18">
        <f t="shared" si="148"/>
        <v>2203491.37</v>
      </c>
      <c r="BY63" s="18">
        <f t="shared" si="148"/>
        <v>1711085.65</v>
      </c>
      <c r="BZ63" s="18">
        <f t="shared" si="148"/>
        <v>270580.8</v>
      </c>
      <c r="CA63" s="18">
        <f t="shared" si="148"/>
        <v>221824.91999999998</v>
      </c>
      <c r="CB63" s="18">
        <f t="shared" si="148"/>
        <v>2203491.37</v>
      </c>
      <c r="CC63" s="18">
        <f t="shared" si="148"/>
        <v>0</v>
      </c>
      <c r="CD63" s="18">
        <f t="shared" si="148"/>
        <v>-302964.69999999995</v>
      </c>
      <c r="CE63" s="18">
        <f t="shared" si="148"/>
        <v>-302964.69999999995</v>
      </c>
      <c r="CF63" s="18">
        <f t="shared" si="148"/>
        <v>0</v>
      </c>
      <c r="CG63" s="18">
        <f t="shared" si="148"/>
        <v>3227998.75</v>
      </c>
      <c r="CH63" s="18">
        <f t="shared" si="148"/>
        <v>-8211.149999999998</v>
      </c>
      <c r="CI63" s="18">
        <f t="shared" si="148"/>
        <v>285211.25</v>
      </c>
      <c r="CJ63" s="156" t="e">
        <f t="shared" si="115"/>
        <v>#DIV/0!</v>
      </c>
      <c r="CK63" s="156" t="e">
        <f t="shared" si="116"/>
        <v>#DIV/0!</v>
      </c>
      <c r="CL63" s="156">
        <f t="shared" si="117"/>
        <v>-0.0938552717841046</v>
      </c>
      <c r="CM63" s="156">
        <f t="shared" si="118"/>
        <v>-0.0938552717841046</v>
      </c>
      <c r="CN63" s="156">
        <f t="shared" si="119"/>
        <v>-0.0025437277508239425</v>
      </c>
      <c r="CO63" s="156">
        <f t="shared" si="120"/>
        <v>0.08835544003850683</v>
      </c>
      <c r="CP63" s="156">
        <f t="shared" si="121"/>
        <v>0.29963613429863134</v>
      </c>
      <c r="CQ63" s="156">
        <f t="shared" si="122"/>
        <v>0.29963613429863134</v>
      </c>
      <c r="CR63" s="18">
        <f t="shared" si="123"/>
        <v>2.4914226970996953</v>
      </c>
      <c r="CS63" s="18">
        <f t="shared" si="124"/>
        <v>-754813.1299999999</v>
      </c>
      <c r="CT63" s="18">
        <f t="shared" si="125"/>
        <v>3543803</v>
      </c>
      <c r="CU63" s="18">
        <f t="shared" si="126"/>
        <v>3240838.3</v>
      </c>
      <c r="CV63" s="18">
        <f t="shared" si="127"/>
        <v>-302964.7000000002</v>
      </c>
      <c r="CW63" s="18">
        <f t="shared" si="128"/>
        <v>0</v>
      </c>
      <c r="CX63" s="18">
        <f t="shared" si="129"/>
        <v>-302964.7000000002</v>
      </c>
      <c r="CY63" s="18">
        <f t="shared" si="130"/>
        <v>-596387.1000000002</v>
      </c>
      <c r="CZ63" s="18">
        <f t="shared" si="131"/>
        <v>0</v>
      </c>
      <c r="DA63" s="18">
        <f t="shared" si="132"/>
        <v>293422.4</v>
      </c>
      <c r="DB63" s="18">
        <f t="shared" si="133"/>
        <v>-302964.7000000002</v>
      </c>
      <c r="DC63" s="18">
        <f t="shared" si="134"/>
        <v>-293422.4</v>
      </c>
      <c r="DD63" s="18">
        <f t="shared" si="135"/>
        <v>-596387.1000000002</v>
      </c>
      <c r="DE63" s="18">
        <f t="shared" si="136"/>
        <v>895794.45</v>
      </c>
      <c r="DF63" s="18">
        <f t="shared" si="137"/>
        <v>-429.1149118817509</v>
      </c>
      <c r="DG63" s="18">
        <f t="shared" si="138"/>
        <v>-4.668078453666855</v>
      </c>
      <c r="DH63" s="18">
        <f t="shared" si="139"/>
        <v>509.26347356452527</v>
      </c>
      <c r="DI63" s="18">
        <f t="shared" si="140"/>
        <v>0</v>
      </c>
      <c r="DJ63" s="18">
        <f t="shared" si="141"/>
        <v>-172.2368959636158</v>
      </c>
      <c r="DK63" s="18">
        <f t="shared" si="142"/>
        <v>-1025393.9299999999</v>
      </c>
    </row>
    <row r="64" spans="1:115" ht="12.75">
      <c r="A64" s="3" t="s">
        <v>263</v>
      </c>
      <c r="B64" s="60">
        <f>B3+B5+B6+B12+B13+B14+B15+B16+B18+B23+B28+B29+B30+B31</f>
        <v>8721</v>
      </c>
      <c r="C64" s="60">
        <f>C3+C5+C6+C12+C13+C14+C15+C16+C18+C23+C28+C29+C30+C31</f>
        <v>28732464</v>
      </c>
      <c r="D64" s="60">
        <f>(D3+D5+D6+D12+D13+D14+D15+D16+D18+D23+D28+D29+D30+D31)/14</f>
        <v>2987.77</v>
      </c>
      <c r="E64" s="60">
        <f>(E3+E5+E6+E12+E13+E14+E15+E16+E18+E23+E28+E29+E30+E31)/14</f>
        <v>83.59642857142858</v>
      </c>
      <c r="F64" s="60">
        <f>(F3+F5+F6+F12+F13+F14+F15+F16+F18+F23+F28+F29+F30+F31)/14</f>
        <v>10.857142857142858</v>
      </c>
      <c r="G64" s="18">
        <f>G3+G5+G6+G12+G13+G14+G15+G16+G18+G23+G28+G29+G30+G31</f>
        <v>10949282.200000003</v>
      </c>
      <c r="H64" s="18">
        <f aca="true" t="shared" si="149" ref="H64:BS64">H3+H5+H6+H12+H13+H14+H15+H16+H18+H23+H28+H29+H30+H31</f>
        <v>1665435.7</v>
      </c>
      <c r="I64" s="18">
        <f t="shared" si="149"/>
        <v>256028.3</v>
      </c>
      <c r="J64" s="18">
        <f t="shared" si="149"/>
        <v>0</v>
      </c>
      <c r="K64" s="18">
        <f t="shared" si="149"/>
        <v>949440.55</v>
      </c>
      <c r="L64" s="18">
        <f t="shared" si="149"/>
        <v>300500</v>
      </c>
      <c r="M64" s="18">
        <f t="shared" si="149"/>
        <v>1249940.5499999998</v>
      </c>
      <c r="N64" s="18">
        <f t="shared" si="149"/>
        <v>0</v>
      </c>
      <c r="O64" s="18">
        <f t="shared" si="149"/>
        <v>2112531.35</v>
      </c>
      <c r="P64" s="18">
        <f t="shared" si="149"/>
        <v>42068.15</v>
      </c>
      <c r="Q64" s="18">
        <f t="shared" si="149"/>
        <v>0</v>
      </c>
      <c r="R64" s="18">
        <f t="shared" si="149"/>
        <v>0</v>
      </c>
      <c r="S64" s="18">
        <f t="shared" si="149"/>
        <v>0</v>
      </c>
      <c r="T64" s="18">
        <f t="shared" si="149"/>
        <v>0</v>
      </c>
      <c r="U64" s="18">
        <f t="shared" si="149"/>
        <v>0</v>
      </c>
      <c r="V64" s="18">
        <f t="shared" si="149"/>
        <v>0</v>
      </c>
      <c r="W64" s="18">
        <f t="shared" si="149"/>
        <v>0</v>
      </c>
      <c r="X64" s="18">
        <f t="shared" si="149"/>
        <v>1219637.75</v>
      </c>
      <c r="Y64" s="18">
        <f t="shared" si="149"/>
        <v>17494924.000000004</v>
      </c>
      <c r="Z64" s="18">
        <f t="shared" si="149"/>
        <v>4180196.3000000003</v>
      </c>
      <c r="AA64" s="18">
        <f t="shared" si="149"/>
        <v>472408</v>
      </c>
      <c r="AB64" s="18">
        <f t="shared" si="149"/>
        <v>0</v>
      </c>
      <c r="AC64" s="18">
        <f t="shared" si="149"/>
        <v>241230.44999999998</v>
      </c>
      <c r="AD64" s="18">
        <f t="shared" si="149"/>
        <v>0</v>
      </c>
      <c r="AE64" s="18">
        <f t="shared" si="149"/>
        <v>4893834.750000001</v>
      </c>
      <c r="AF64" s="18">
        <f t="shared" si="149"/>
        <v>0</v>
      </c>
      <c r="AG64" s="18">
        <f t="shared" si="149"/>
        <v>50591.05</v>
      </c>
      <c r="AH64" s="18">
        <f t="shared" si="149"/>
        <v>0</v>
      </c>
      <c r="AI64" s="18">
        <f t="shared" si="149"/>
        <v>270638.14999999997</v>
      </c>
      <c r="AJ64" s="18">
        <f t="shared" si="149"/>
        <v>3708325.8000000003</v>
      </c>
      <c r="AK64" s="18">
        <f t="shared" si="149"/>
        <v>1201194.6</v>
      </c>
      <c r="AL64" s="18">
        <f t="shared" si="149"/>
        <v>4756217.300000001</v>
      </c>
      <c r="AM64" s="18">
        <f t="shared" si="149"/>
        <v>0</v>
      </c>
      <c r="AN64" s="18">
        <f t="shared" si="149"/>
        <v>2938.85</v>
      </c>
      <c r="AO64" s="18">
        <f t="shared" si="149"/>
        <v>0</v>
      </c>
      <c r="AP64" s="18">
        <f t="shared" si="149"/>
        <v>0</v>
      </c>
      <c r="AQ64" s="18">
        <f t="shared" si="149"/>
        <v>0</v>
      </c>
      <c r="AR64" s="18">
        <f t="shared" si="149"/>
        <v>0</v>
      </c>
      <c r="AS64" s="18">
        <f t="shared" si="149"/>
        <v>2938.85</v>
      </c>
      <c r="AT64" s="18">
        <f t="shared" si="149"/>
        <v>1218695.15</v>
      </c>
      <c r="AU64" s="18">
        <f t="shared" si="149"/>
        <v>16102435.65</v>
      </c>
      <c r="AV64" s="18">
        <f t="shared" si="149"/>
        <v>0</v>
      </c>
      <c r="AW64" s="18">
        <f t="shared" si="149"/>
        <v>1392488.35</v>
      </c>
      <c r="AX64" s="18">
        <f t="shared" si="149"/>
        <v>4.783942131325603E-10</v>
      </c>
      <c r="AY64" s="18">
        <f t="shared" si="149"/>
        <v>0</v>
      </c>
      <c r="AZ64" s="18">
        <f t="shared" si="149"/>
        <v>990503.3499999999</v>
      </c>
      <c r="BA64" s="18">
        <f t="shared" si="149"/>
        <v>0</v>
      </c>
      <c r="BB64" s="18">
        <f t="shared" si="149"/>
        <v>0</v>
      </c>
      <c r="BC64" s="18">
        <f t="shared" si="149"/>
        <v>0</v>
      </c>
      <c r="BD64" s="18">
        <f t="shared" si="149"/>
        <v>350000</v>
      </c>
      <c r="BE64" s="18">
        <f t="shared" si="149"/>
        <v>0</v>
      </c>
      <c r="BF64" s="18">
        <f t="shared" si="149"/>
        <v>1340503.35</v>
      </c>
      <c r="BG64" s="18">
        <f t="shared" si="149"/>
        <v>0</v>
      </c>
      <c r="BH64" s="18">
        <f t="shared" si="149"/>
        <v>0</v>
      </c>
      <c r="BI64" s="18">
        <f t="shared" si="149"/>
        <v>0</v>
      </c>
      <c r="BJ64" s="18">
        <f t="shared" si="149"/>
        <v>0</v>
      </c>
      <c r="BK64" s="18">
        <f t="shared" si="149"/>
        <v>0</v>
      </c>
      <c r="BL64" s="18">
        <f t="shared" si="149"/>
        <v>0</v>
      </c>
      <c r="BM64" s="18">
        <f t="shared" si="149"/>
        <v>635100.45</v>
      </c>
      <c r="BN64" s="18">
        <f t="shared" si="149"/>
        <v>350000</v>
      </c>
      <c r="BO64" s="18">
        <f t="shared" si="149"/>
        <v>985100.4499999998</v>
      </c>
      <c r="BP64" s="18">
        <f t="shared" si="149"/>
        <v>635100.45</v>
      </c>
      <c r="BQ64" s="18">
        <f t="shared" si="149"/>
        <v>0</v>
      </c>
      <c r="BR64" s="18">
        <f t="shared" si="149"/>
        <v>990503.3499999999</v>
      </c>
      <c r="BS64" s="18">
        <f t="shared" si="149"/>
        <v>0</v>
      </c>
      <c r="BT64" s="18">
        <f aca="true" t="shared" si="150" ref="BT64:CI64">BT3+BT5+BT6+BT12+BT13+BT14+BT15+BT16+BT18+BT23+BT28+BT29+BT30+BT31</f>
        <v>7098800.090000001</v>
      </c>
      <c r="BU64" s="18">
        <f t="shared" si="150"/>
        <v>6189301</v>
      </c>
      <c r="BV64" s="18">
        <f t="shared" si="150"/>
        <v>0</v>
      </c>
      <c r="BW64" s="18">
        <f t="shared" si="150"/>
        <v>871824.57</v>
      </c>
      <c r="BX64" s="18">
        <f t="shared" si="150"/>
        <v>14159925.660000002</v>
      </c>
      <c r="BY64" s="18">
        <f t="shared" si="150"/>
        <v>13260741.940000001</v>
      </c>
      <c r="BZ64" s="18">
        <f t="shared" si="150"/>
        <v>379752.5</v>
      </c>
      <c r="CA64" s="18">
        <f t="shared" si="150"/>
        <v>519431.22</v>
      </c>
      <c r="CB64" s="18">
        <f t="shared" si="150"/>
        <v>14159925.660000002</v>
      </c>
      <c r="CC64" s="18">
        <f t="shared" si="150"/>
        <v>0</v>
      </c>
      <c r="CD64" s="18">
        <f t="shared" si="150"/>
        <v>-142547.8</v>
      </c>
      <c r="CE64" s="18">
        <f t="shared" si="150"/>
        <v>-145486.64999999997</v>
      </c>
      <c r="CF64" s="18">
        <f t="shared" si="150"/>
        <v>355402.9</v>
      </c>
      <c r="CG64" s="18">
        <f t="shared" si="150"/>
        <v>14880801.65</v>
      </c>
      <c r="CH64" s="18">
        <f t="shared" si="150"/>
        <v>205437.25000000003</v>
      </c>
      <c r="CI64" s="18">
        <f t="shared" si="150"/>
        <v>1154877.8000000003</v>
      </c>
      <c r="CJ64" s="156">
        <f t="shared" si="115"/>
        <v>-0.401087892079665</v>
      </c>
      <c r="CK64" s="156">
        <f t="shared" si="116"/>
        <v>-0.4093569579764261</v>
      </c>
      <c r="CL64" s="156">
        <f t="shared" si="117"/>
        <v>-0.009579309189972301</v>
      </c>
      <c r="CM64" s="156">
        <f t="shared" si="118"/>
        <v>-0.009776801910399764</v>
      </c>
      <c r="CN64" s="156">
        <f t="shared" si="119"/>
        <v>0.013805523037799514</v>
      </c>
      <c r="CO64" s="156">
        <f t="shared" si="120"/>
        <v>0.07760857426656179</v>
      </c>
      <c r="CP64" s="156">
        <f t="shared" si="121"/>
        <v>0.1680198904147695</v>
      </c>
      <c r="CQ64" s="156">
        <f t="shared" si="122"/>
        <v>0.12762598762504224</v>
      </c>
      <c r="CR64" s="18">
        <f t="shared" si="123"/>
        <v>42.354001896393946</v>
      </c>
      <c r="CS64" s="18">
        <f t="shared" si="124"/>
        <v>-6161941.850000001</v>
      </c>
      <c r="CT64" s="18">
        <f t="shared" si="125"/>
        <v>16244983.450000003</v>
      </c>
      <c r="CU64" s="18">
        <f t="shared" si="126"/>
        <v>16102435.65</v>
      </c>
      <c r="CV64" s="18">
        <f t="shared" si="127"/>
        <v>-142547.8000000026</v>
      </c>
      <c r="CW64" s="18">
        <f t="shared" si="128"/>
        <v>0</v>
      </c>
      <c r="CX64" s="18">
        <f t="shared" si="129"/>
        <v>-142547.8000000026</v>
      </c>
      <c r="CY64" s="18">
        <f t="shared" si="130"/>
        <v>-1392488.3500000027</v>
      </c>
      <c r="CZ64" s="18">
        <f t="shared" si="131"/>
        <v>355402.8999999999</v>
      </c>
      <c r="DA64" s="18">
        <f t="shared" si="132"/>
        <v>1249940.55</v>
      </c>
      <c r="DB64" s="18">
        <f t="shared" si="133"/>
        <v>-497950.7000000025</v>
      </c>
      <c r="DC64" s="18">
        <f t="shared" si="134"/>
        <v>-1885041</v>
      </c>
      <c r="DD64" s="18">
        <f t="shared" si="135"/>
        <v>-1392488.3500000027</v>
      </c>
      <c r="DE64" s="18">
        <f t="shared" si="136"/>
        <v>4652604.300000001</v>
      </c>
      <c r="DF64" s="18">
        <f t="shared" si="137"/>
        <v>-706.5636796238964</v>
      </c>
      <c r="DG64" s="18">
        <f t="shared" si="138"/>
        <v>23.55661621373696</v>
      </c>
      <c r="DH64" s="18">
        <f t="shared" si="139"/>
        <v>533.4943584451325</v>
      </c>
      <c r="DI64" s="18">
        <f t="shared" si="140"/>
        <v>40.75253984634789</v>
      </c>
      <c r="DJ64" s="18">
        <f t="shared" si="141"/>
        <v>-57.09789015021242</v>
      </c>
      <c r="DK64" s="18">
        <f t="shared" si="142"/>
        <v>-6541694.35</v>
      </c>
    </row>
    <row r="65" spans="1:115" ht="12.75">
      <c r="A65" s="3" t="s">
        <v>250</v>
      </c>
      <c r="B65" s="60">
        <f>SUM(B60:B64)</f>
        <v>38210</v>
      </c>
      <c r="C65" s="60">
        <f aca="true" t="shared" si="151" ref="C65:BN65">SUM(C60:C64)</f>
        <v>136563571</v>
      </c>
      <c r="D65" s="60">
        <f>MEDIAN(D60:D64)</f>
        <v>3071.933333333333</v>
      </c>
      <c r="E65" s="60">
        <f>MEDIAN(E60:E64)</f>
        <v>85.95333333333332</v>
      </c>
      <c r="F65" s="60">
        <f>MEDIAN(F60:F64)</f>
        <v>10</v>
      </c>
      <c r="G65" s="18">
        <f t="shared" si="151"/>
        <v>38581689</v>
      </c>
      <c r="H65" s="18">
        <f t="shared" si="151"/>
        <v>6116660.27</v>
      </c>
      <c r="I65" s="18">
        <f t="shared" si="151"/>
        <v>1393571.8</v>
      </c>
      <c r="J65" s="18">
        <f t="shared" si="151"/>
        <v>0</v>
      </c>
      <c r="K65" s="18">
        <f t="shared" si="151"/>
        <v>3663612.7</v>
      </c>
      <c r="L65" s="18">
        <f t="shared" si="151"/>
        <v>1005232.05</v>
      </c>
      <c r="M65" s="18">
        <f t="shared" si="151"/>
        <v>4668844.75</v>
      </c>
      <c r="N65" s="18">
        <f t="shared" si="151"/>
        <v>0</v>
      </c>
      <c r="O65" s="18">
        <f t="shared" si="151"/>
        <v>8585357.92</v>
      </c>
      <c r="P65" s="18">
        <f t="shared" si="151"/>
        <v>93640.75</v>
      </c>
      <c r="Q65" s="18">
        <f t="shared" si="151"/>
        <v>4900</v>
      </c>
      <c r="R65" s="18">
        <f t="shared" si="151"/>
        <v>0</v>
      </c>
      <c r="S65" s="18">
        <f t="shared" si="151"/>
        <v>0</v>
      </c>
      <c r="T65" s="18">
        <f t="shared" si="151"/>
        <v>100000</v>
      </c>
      <c r="U65" s="18">
        <f t="shared" si="151"/>
        <v>0</v>
      </c>
      <c r="V65" s="18">
        <f t="shared" si="151"/>
        <v>0</v>
      </c>
      <c r="W65" s="18">
        <f t="shared" si="151"/>
        <v>100000</v>
      </c>
      <c r="X65" s="18">
        <f t="shared" si="151"/>
        <v>3584718.9</v>
      </c>
      <c r="Y65" s="18">
        <f t="shared" si="151"/>
        <v>63129383.39</v>
      </c>
      <c r="Z65" s="18">
        <f t="shared" si="151"/>
        <v>17325841.4</v>
      </c>
      <c r="AA65" s="18">
        <f t="shared" si="151"/>
        <v>2120351.1</v>
      </c>
      <c r="AB65" s="18">
        <f t="shared" si="151"/>
        <v>9673.2</v>
      </c>
      <c r="AC65" s="18">
        <f t="shared" si="151"/>
        <v>1037654.1499999999</v>
      </c>
      <c r="AD65" s="18">
        <f t="shared" si="151"/>
        <v>0</v>
      </c>
      <c r="AE65" s="18">
        <f t="shared" si="151"/>
        <v>20493519.85</v>
      </c>
      <c r="AF65" s="18">
        <f t="shared" si="151"/>
        <v>0</v>
      </c>
      <c r="AG65" s="18">
        <f t="shared" si="151"/>
        <v>782089.1499999999</v>
      </c>
      <c r="AH65" s="18">
        <f t="shared" si="151"/>
        <v>0</v>
      </c>
      <c r="AI65" s="18">
        <f t="shared" si="151"/>
        <v>1324209.0999999999</v>
      </c>
      <c r="AJ65" s="18">
        <f t="shared" si="151"/>
        <v>15073089.2</v>
      </c>
      <c r="AK65" s="18">
        <f t="shared" si="151"/>
        <v>3328291.15</v>
      </c>
      <c r="AL65" s="18">
        <f t="shared" si="151"/>
        <v>15733309.55</v>
      </c>
      <c r="AM65" s="18">
        <f t="shared" si="151"/>
        <v>1250.1</v>
      </c>
      <c r="AN65" s="18">
        <f t="shared" si="151"/>
        <v>2938.85</v>
      </c>
      <c r="AO65" s="18">
        <f t="shared" si="151"/>
        <v>13450.4</v>
      </c>
      <c r="AP65" s="18">
        <f t="shared" si="151"/>
        <v>6254.85</v>
      </c>
      <c r="AQ65" s="18">
        <f t="shared" si="151"/>
        <v>0</v>
      </c>
      <c r="AR65" s="18">
        <f t="shared" si="151"/>
        <v>0</v>
      </c>
      <c r="AS65" s="18">
        <f t="shared" si="151"/>
        <v>22644.1</v>
      </c>
      <c r="AT65" s="18">
        <f t="shared" si="151"/>
        <v>3838755.15</v>
      </c>
      <c r="AU65" s="18">
        <f t="shared" si="151"/>
        <v>60597157.34999999</v>
      </c>
      <c r="AV65" s="18">
        <f t="shared" si="151"/>
        <v>68413.08</v>
      </c>
      <c r="AW65" s="18">
        <f t="shared" si="151"/>
        <v>2600639.12</v>
      </c>
      <c r="AX65" s="18">
        <f t="shared" si="151"/>
        <v>7.742755769868381E-09</v>
      </c>
      <c r="AY65" s="18">
        <f t="shared" si="151"/>
        <v>47089.9</v>
      </c>
      <c r="AZ65" s="18">
        <f t="shared" si="151"/>
        <v>2583434.9</v>
      </c>
      <c r="BA65" s="18">
        <f t="shared" si="151"/>
        <v>0</v>
      </c>
      <c r="BB65" s="18">
        <f t="shared" si="151"/>
        <v>0</v>
      </c>
      <c r="BC65" s="18">
        <f t="shared" si="151"/>
        <v>0</v>
      </c>
      <c r="BD65" s="18">
        <f t="shared" si="151"/>
        <v>351938.7</v>
      </c>
      <c r="BE65" s="18">
        <f t="shared" si="151"/>
        <v>2500000</v>
      </c>
      <c r="BF65" s="18">
        <f t="shared" si="151"/>
        <v>5435373.6</v>
      </c>
      <c r="BG65" s="18">
        <f t="shared" si="151"/>
        <v>41818.5</v>
      </c>
      <c r="BH65" s="18">
        <f t="shared" si="151"/>
        <v>0</v>
      </c>
      <c r="BI65" s="18">
        <f t="shared" si="151"/>
        <v>3167</v>
      </c>
      <c r="BJ65" s="18">
        <f t="shared" si="151"/>
        <v>0</v>
      </c>
      <c r="BK65" s="18">
        <f t="shared" si="151"/>
        <v>3000</v>
      </c>
      <c r="BL65" s="18">
        <f t="shared" si="151"/>
        <v>0</v>
      </c>
      <c r="BM65" s="18">
        <f t="shared" si="151"/>
        <v>669060.45</v>
      </c>
      <c r="BN65" s="18">
        <f t="shared" si="151"/>
        <v>350000</v>
      </c>
      <c r="BO65" s="18">
        <f aca="true" t="shared" si="152" ref="BO65:CI65">SUM(BO60:BO64)</f>
        <v>1067045.9499999997</v>
      </c>
      <c r="BP65" s="18">
        <f t="shared" si="152"/>
        <v>717045.95</v>
      </c>
      <c r="BQ65" s="18">
        <f t="shared" si="152"/>
        <v>0</v>
      </c>
      <c r="BR65" s="18">
        <f t="shared" si="152"/>
        <v>5085373.6</v>
      </c>
      <c r="BS65" s="18">
        <f t="shared" si="152"/>
        <v>0</v>
      </c>
      <c r="BT65" s="18">
        <f t="shared" si="152"/>
        <v>22363175.849999998</v>
      </c>
      <c r="BU65" s="18">
        <f t="shared" si="152"/>
        <v>36405641.65</v>
      </c>
      <c r="BV65" s="18">
        <f t="shared" si="152"/>
        <v>0</v>
      </c>
      <c r="BW65" s="18">
        <f t="shared" si="152"/>
        <v>3159170.17</v>
      </c>
      <c r="BX65" s="18">
        <f t="shared" si="152"/>
        <v>61927987.67</v>
      </c>
      <c r="BY65" s="18">
        <f t="shared" si="152"/>
        <v>58021841.8</v>
      </c>
      <c r="BZ65" s="18">
        <f t="shared" si="152"/>
        <v>1422524.3</v>
      </c>
      <c r="CA65" s="18">
        <f t="shared" si="152"/>
        <v>2483621.57</v>
      </c>
      <c r="CB65" s="18">
        <f t="shared" si="152"/>
        <v>61927987.67</v>
      </c>
      <c r="CC65" s="18">
        <f t="shared" si="152"/>
        <v>0</v>
      </c>
      <c r="CD65" s="18">
        <f t="shared" si="152"/>
        <v>2136618.71</v>
      </c>
      <c r="CE65" s="18">
        <f t="shared" si="152"/>
        <v>2213974.61</v>
      </c>
      <c r="CF65" s="18">
        <f t="shared" si="152"/>
        <v>4368327.65</v>
      </c>
      <c r="CG65" s="18">
        <f t="shared" si="152"/>
        <v>56734507.999999985</v>
      </c>
      <c r="CH65" s="18">
        <f t="shared" si="152"/>
        <v>658572.55</v>
      </c>
      <c r="CI65" s="18">
        <f t="shared" si="152"/>
        <v>4322185.25</v>
      </c>
      <c r="CJ65" s="156">
        <f t="shared" si="115"/>
        <v>0.48911594577847195</v>
      </c>
      <c r="CK65" s="156">
        <f t="shared" si="116"/>
        <v>0.5068243015150202</v>
      </c>
      <c r="CL65" s="156">
        <f t="shared" si="117"/>
        <v>0.037659949567201687</v>
      </c>
      <c r="CM65" s="156">
        <f t="shared" si="118"/>
        <v>0.0390234213364466</v>
      </c>
      <c r="CN65" s="156">
        <f t="shared" si="119"/>
        <v>0.011607971465972707</v>
      </c>
      <c r="CO65" s="156">
        <f t="shared" si="120"/>
        <v>0.07618265148258624</v>
      </c>
      <c r="CP65" s="156">
        <f t="shared" si="121"/>
        <v>0.11366775726744084</v>
      </c>
      <c r="CQ65" s="156">
        <f t="shared" si="122"/>
        <v>0.0891943642172967</v>
      </c>
      <c r="CR65" s="18">
        <f t="shared" si="123"/>
        <v>-16.106176551862085</v>
      </c>
      <c r="CS65" s="18">
        <f t="shared" si="124"/>
        <v>-35658665.95</v>
      </c>
      <c r="CT65" s="18">
        <f t="shared" si="125"/>
        <v>58460538.64</v>
      </c>
      <c r="CU65" s="18">
        <f t="shared" si="126"/>
        <v>60597157.34999999</v>
      </c>
      <c r="CV65" s="18">
        <f t="shared" si="127"/>
        <v>2136618.709999986</v>
      </c>
      <c r="CW65" s="18">
        <f t="shared" si="128"/>
        <v>0</v>
      </c>
      <c r="CX65" s="18">
        <f t="shared" si="129"/>
        <v>2136618.709999986</v>
      </c>
      <c r="CY65" s="18">
        <f t="shared" si="130"/>
        <v>-2532226.040000014</v>
      </c>
      <c r="CZ65" s="18">
        <f t="shared" si="131"/>
        <v>4368327.649999999</v>
      </c>
      <c r="DA65" s="18">
        <f t="shared" si="132"/>
        <v>4668844.75</v>
      </c>
      <c r="DB65" s="18">
        <f t="shared" si="133"/>
        <v>-2231708.9400000134</v>
      </c>
      <c r="DC65" s="18">
        <f t="shared" si="134"/>
        <v>-5385890.7</v>
      </c>
      <c r="DD65" s="18">
        <f t="shared" si="135"/>
        <v>-2532226.040000014</v>
      </c>
      <c r="DE65" s="18">
        <f t="shared" si="136"/>
        <v>19455865.7</v>
      </c>
      <c r="DF65" s="18">
        <f t="shared" si="137"/>
        <v>-933.2286299398064</v>
      </c>
      <c r="DG65" s="18">
        <f t="shared" si="138"/>
        <v>17.235607170897673</v>
      </c>
      <c r="DH65" s="18">
        <f t="shared" si="139"/>
        <v>509.18256215650354</v>
      </c>
      <c r="DI65" s="18">
        <f t="shared" si="140"/>
        <v>114.32419916252289</v>
      </c>
      <c r="DJ65" s="18">
        <f t="shared" si="141"/>
        <v>-58.406410363779464</v>
      </c>
      <c r="DK65" s="18">
        <f t="shared" si="142"/>
        <v>-37081190.25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1998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DO65"/>
  <sheetViews>
    <sheetView workbookViewId="0" topLeftCell="A1">
      <pane xSplit="6" ySplit="2" topLeftCell="CN51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60" sqref="CJ60:CQ65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46"/>
      <c r="B1" s="22" t="s">
        <v>202</v>
      </c>
      <c r="C1" s="22"/>
      <c r="D1" s="22"/>
      <c r="E1" s="22"/>
      <c r="F1" s="53"/>
      <c r="G1" s="20" t="s">
        <v>62</v>
      </c>
      <c r="H1" s="20"/>
      <c r="I1" s="20"/>
      <c r="J1" s="20"/>
      <c r="K1" s="20"/>
      <c r="L1" s="20"/>
      <c r="M1" s="20" t="s">
        <v>67</v>
      </c>
      <c r="N1" s="20"/>
      <c r="O1" s="20"/>
      <c r="P1" s="20"/>
      <c r="Q1" s="20"/>
      <c r="R1" s="20"/>
      <c r="S1" s="20" t="s">
        <v>67</v>
      </c>
      <c r="T1" s="20"/>
      <c r="U1" s="20"/>
      <c r="V1" s="20"/>
      <c r="W1" s="20"/>
      <c r="X1" s="20"/>
      <c r="Y1" s="20" t="s">
        <v>67</v>
      </c>
      <c r="Z1" s="20"/>
      <c r="AA1" s="20"/>
      <c r="AB1" s="20"/>
      <c r="AC1" s="20"/>
      <c r="AD1" s="20"/>
      <c r="AE1" s="20"/>
      <c r="AF1" s="20" t="s">
        <v>67</v>
      </c>
      <c r="AG1" s="20"/>
      <c r="AH1" s="20"/>
      <c r="AI1" s="20"/>
      <c r="AJ1" s="20"/>
      <c r="AK1" s="20"/>
      <c r="AL1" s="20" t="s">
        <v>67</v>
      </c>
      <c r="AM1" s="20"/>
      <c r="AN1" s="20"/>
      <c r="AO1" s="20"/>
      <c r="AP1" s="20"/>
      <c r="AQ1" s="20" t="s">
        <v>67</v>
      </c>
      <c r="AR1" s="20"/>
      <c r="AS1" s="20"/>
      <c r="AT1" s="20"/>
      <c r="AU1" s="20"/>
      <c r="AV1" s="20" t="s">
        <v>67</v>
      </c>
      <c r="AW1" s="20"/>
      <c r="AX1" s="20"/>
      <c r="AY1" s="20"/>
      <c r="AZ1" s="20" t="s">
        <v>63</v>
      </c>
      <c r="BA1" s="20"/>
      <c r="BB1" s="20"/>
      <c r="BC1" s="20"/>
      <c r="BD1" s="20"/>
      <c r="BE1" s="20"/>
      <c r="BF1" s="20" t="s">
        <v>138</v>
      </c>
      <c r="BG1" s="20"/>
      <c r="BH1" s="20"/>
      <c r="BI1" s="20"/>
      <c r="BJ1" s="20"/>
      <c r="BK1" s="20"/>
      <c r="BL1" s="20" t="s">
        <v>138</v>
      </c>
      <c r="BM1" s="20"/>
      <c r="BN1" s="20"/>
      <c r="BO1" s="20"/>
      <c r="BP1" s="20"/>
      <c r="BQ1" s="20" t="s">
        <v>138</v>
      </c>
      <c r="BS1" s="20"/>
      <c r="BT1" s="56" t="s">
        <v>64</v>
      </c>
      <c r="BU1" s="20"/>
      <c r="BV1" s="20"/>
      <c r="BW1" s="20"/>
      <c r="BX1" s="20"/>
      <c r="BY1" s="20"/>
      <c r="BZ1" s="20"/>
      <c r="CA1" s="20"/>
      <c r="CB1" s="20"/>
      <c r="CC1" s="20"/>
      <c r="CD1" s="56" t="s">
        <v>65</v>
      </c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</row>
    <row r="2" spans="1:118" s="1" customFormat="1" ht="89.25" customHeight="1">
      <c r="A2" s="47"/>
      <c r="B2" s="38" t="s">
        <v>72</v>
      </c>
      <c r="C2" s="19" t="s">
        <v>37</v>
      </c>
      <c r="D2" s="19" t="s">
        <v>68</v>
      </c>
      <c r="E2" s="19" t="s">
        <v>52</v>
      </c>
      <c r="F2" s="122" t="s">
        <v>216</v>
      </c>
      <c r="G2" s="126" t="s">
        <v>217</v>
      </c>
      <c r="H2" s="52" t="s">
        <v>77</v>
      </c>
      <c r="I2" s="52" t="s">
        <v>78</v>
      </c>
      <c r="J2" s="52" t="s">
        <v>79</v>
      </c>
      <c r="K2" s="52" t="s">
        <v>80</v>
      </c>
      <c r="L2" s="52" t="s">
        <v>81</v>
      </c>
      <c r="M2" s="52" t="s">
        <v>82</v>
      </c>
      <c r="N2" s="52" t="s">
        <v>83</v>
      </c>
      <c r="O2" s="52" t="s">
        <v>84</v>
      </c>
      <c r="P2" s="52" t="s">
        <v>85</v>
      </c>
      <c r="Q2" s="52" t="s">
        <v>86</v>
      </c>
      <c r="R2" s="52" t="s">
        <v>87</v>
      </c>
      <c r="S2" s="52" t="s">
        <v>88</v>
      </c>
      <c r="T2" s="52" t="s">
        <v>89</v>
      </c>
      <c r="U2" s="52" t="s">
        <v>90</v>
      </c>
      <c r="V2" s="52" t="s">
        <v>91</v>
      </c>
      <c r="W2" s="52" t="s">
        <v>92</v>
      </c>
      <c r="X2" s="52" t="s">
        <v>93</v>
      </c>
      <c r="Y2" s="52" t="s">
        <v>94</v>
      </c>
      <c r="Z2" s="52" t="s">
        <v>95</v>
      </c>
      <c r="AA2" s="52" t="s">
        <v>96</v>
      </c>
      <c r="AB2" s="52" t="s">
        <v>97</v>
      </c>
      <c r="AC2" s="52" t="s">
        <v>214</v>
      </c>
      <c r="AD2" s="52" t="s">
        <v>98</v>
      </c>
      <c r="AE2" s="52" t="s">
        <v>99</v>
      </c>
      <c r="AF2" s="52" t="s">
        <v>100</v>
      </c>
      <c r="AG2" s="52" t="s">
        <v>101</v>
      </c>
      <c r="AH2" s="52" t="s">
        <v>102</v>
      </c>
      <c r="AI2" s="52" t="s">
        <v>103</v>
      </c>
      <c r="AJ2" s="52" t="s">
        <v>104</v>
      </c>
      <c r="AK2" s="52" t="s">
        <v>105</v>
      </c>
      <c r="AL2" s="52" t="s">
        <v>106</v>
      </c>
      <c r="AM2" s="52" t="s">
        <v>107</v>
      </c>
      <c r="AN2" s="34" t="s">
        <v>108</v>
      </c>
      <c r="AO2" s="34" t="s">
        <v>109</v>
      </c>
      <c r="AP2" s="34" t="s">
        <v>110</v>
      </c>
      <c r="AQ2" s="34" t="s">
        <v>111</v>
      </c>
      <c r="AR2" s="34" t="s">
        <v>112</v>
      </c>
      <c r="AS2" s="34" t="s">
        <v>113</v>
      </c>
      <c r="AT2" s="34" t="s">
        <v>114</v>
      </c>
      <c r="AU2" s="34" t="s">
        <v>115</v>
      </c>
      <c r="AV2" s="34" t="s">
        <v>116</v>
      </c>
      <c r="AW2" s="34" t="s">
        <v>117</v>
      </c>
      <c r="AX2" s="34" t="s">
        <v>118</v>
      </c>
      <c r="AY2" s="52" t="s">
        <v>139</v>
      </c>
      <c r="AZ2" s="52" t="s">
        <v>119</v>
      </c>
      <c r="BA2" s="52" t="s">
        <v>120</v>
      </c>
      <c r="BB2" s="52" t="s">
        <v>121</v>
      </c>
      <c r="BC2" s="52" t="s">
        <v>122</v>
      </c>
      <c r="BD2" s="52" t="s">
        <v>123</v>
      </c>
      <c r="BE2" s="52" t="s">
        <v>124</v>
      </c>
      <c r="BF2" s="52" t="s">
        <v>125</v>
      </c>
      <c r="BG2" s="52" t="s">
        <v>126</v>
      </c>
      <c r="BH2" s="52" t="s">
        <v>127</v>
      </c>
      <c r="BI2" s="52" t="s">
        <v>128</v>
      </c>
      <c r="BJ2" s="52" t="s">
        <v>129</v>
      </c>
      <c r="BK2" s="52" t="s">
        <v>130</v>
      </c>
      <c r="BL2" s="52" t="s">
        <v>132</v>
      </c>
      <c r="BM2" s="52" t="s">
        <v>131</v>
      </c>
      <c r="BN2" s="52" t="s">
        <v>133</v>
      </c>
      <c r="BO2" s="52" t="s">
        <v>134</v>
      </c>
      <c r="BP2" s="52" t="s">
        <v>135</v>
      </c>
      <c r="BQ2" s="52" t="s">
        <v>136</v>
      </c>
      <c r="BR2" s="52" t="s">
        <v>137</v>
      </c>
      <c r="BS2" s="52" t="s">
        <v>118</v>
      </c>
      <c r="BT2" s="34" t="s">
        <v>140</v>
      </c>
      <c r="BU2" s="34" t="s">
        <v>141</v>
      </c>
      <c r="BV2" s="34" t="s">
        <v>146</v>
      </c>
      <c r="BW2" s="34" t="s">
        <v>142</v>
      </c>
      <c r="BX2" s="34" t="s">
        <v>143</v>
      </c>
      <c r="BY2" s="34" t="s">
        <v>144</v>
      </c>
      <c r="BZ2" s="34" t="s">
        <v>145</v>
      </c>
      <c r="CA2" s="34" t="s">
        <v>147</v>
      </c>
      <c r="CB2" s="34" t="s">
        <v>148</v>
      </c>
      <c r="CC2" s="34" t="s">
        <v>118</v>
      </c>
      <c r="CD2" s="127" t="s">
        <v>149</v>
      </c>
      <c r="CE2" s="127" t="s">
        <v>150</v>
      </c>
      <c r="CF2" s="127" t="s">
        <v>60</v>
      </c>
      <c r="CG2" s="127" t="s">
        <v>151</v>
      </c>
      <c r="CH2" s="127" t="s">
        <v>152</v>
      </c>
      <c r="CI2" s="127" t="s">
        <v>153</v>
      </c>
      <c r="CJ2" s="127" t="s">
        <v>46</v>
      </c>
      <c r="CK2" s="127" t="s">
        <v>251</v>
      </c>
      <c r="CL2" s="127" t="s">
        <v>45</v>
      </c>
      <c r="CM2" s="127" t="s">
        <v>69</v>
      </c>
      <c r="CN2" s="127" t="s">
        <v>43</v>
      </c>
      <c r="CO2" s="127" t="s">
        <v>44</v>
      </c>
      <c r="CP2" s="127" t="s">
        <v>154</v>
      </c>
      <c r="CQ2" s="127" t="s">
        <v>156</v>
      </c>
      <c r="CR2" s="127" t="s">
        <v>155</v>
      </c>
      <c r="CS2" s="127" t="s">
        <v>161</v>
      </c>
      <c r="CT2" s="127" t="s">
        <v>164</v>
      </c>
      <c r="CU2" s="127" t="s">
        <v>165</v>
      </c>
      <c r="CV2" s="127" t="s">
        <v>163</v>
      </c>
      <c r="CW2" s="127" t="s">
        <v>167</v>
      </c>
      <c r="CX2" s="127" t="s">
        <v>149</v>
      </c>
      <c r="CY2" s="127" t="s">
        <v>168</v>
      </c>
      <c r="CZ2" s="127" t="s">
        <v>173</v>
      </c>
      <c r="DA2" s="127" t="s">
        <v>178</v>
      </c>
      <c r="DB2" s="127" t="s">
        <v>179</v>
      </c>
      <c r="DC2" s="127" t="s">
        <v>181</v>
      </c>
      <c r="DD2" s="127" t="s">
        <v>184</v>
      </c>
      <c r="DE2" s="127" t="s">
        <v>190</v>
      </c>
      <c r="DF2" s="127" t="s">
        <v>198</v>
      </c>
      <c r="DG2" s="127" t="s">
        <v>194</v>
      </c>
      <c r="DH2" s="127" t="s">
        <v>195</v>
      </c>
      <c r="DI2" s="127" t="s">
        <v>196</v>
      </c>
      <c r="DJ2" s="127" t="s">
        <v>199</v>
      </c>
      <c r="DK2" s="127" t="s">
        <v>257</v>
      </c>
      <c r="DL2" s="127" t="s">
        <v>246</v>
      </c>
      <c r="DM2" s="127" t="s">
        <v>247</v>
      </c>
      <c r="DN2" s="128"/>
    </row>
    <row r="3" spans="1:118" s="5" customFormat="1" ht="12.75" customHeight="1">
      <c r="A3" s="48" t="s">
        <v>38</v>
      </c>
      <c r="B3" s="39"/>
      <c r="C3" s="6"/>
      <c r="D3" s="61"/>
      <c r="E3" s="61"/>
      <c r="F3" s="123">
        <v>12</v>
      </c>
      <c r="G3" s="129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f aca="true" t="shared" si="0" ref="M3:M31">SUM(K3:L3)</f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f aca="true" t="shared" si="1" ref="W3:W14">SUM(R3:V3)</f>
        <v>0</v>
      </c>
      <c r="X3" s="41">
        <v>0</v>
      </c>
      <c r="Y3" s="41">
        <f aca="true" t="shared" si="2" ref="Y3:Y14">SUM(G3:X3)-M3-W3</f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f aca="true" t="shared" si="3" ref="AE3:AE14">SUM(Z3:AD3)</f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f aca="true" t="shared" si="7" ref="BF3:BF14">SUM(AZ3:BE3)</f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f aca="true" t="shared" si="8" ref="BO3:BO14">SUM(BG3:BN3)</f>
        <v>0</v>
      </c>
      <c r="BP3" s="41">
        <v>0</v>
      </c>
      <c r="BQ3" s="41">
        <v>0</v>
      </c>
      <c r="BR3" s="41">
        <v>0</v>
      </c>
      <c r="BS3" s="41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70">
        <f aca="true" t="shared" si="13" ref="CD3:CD14">K3+L3+AV3-AW3</f>
        <v>0</v>
      </c>
      <c r="CE3" s="72">
        <f aca="true" t="shared" si="14" ref="CE3:CE14">CD3+W3-AS3</f>
        <v>0</v>
      </c>
      <c r="CF3" s="72">
        <f aca="true" t="shared" si="15" ref="CF3:CF14">BR3-BP3</f>
        <v>0</v>
      </c>
      <c r="CG3" s="72">
        <f>AU3-AM3-AT3-AS3</f>
        <v>0</v>
      </c>
      <c r="CH3" s="72">
        <f aca="true" t="shared" si="16" ref="CH3:CH14">I3-AG3+AY3+AH3+BQ3</f>
        <v>0</v>
      </c>
      <c r="CI3" s="35">
        <f aca="true" t="shared" si="17" ref="CI3:CI14">CH3+K3</f>
        <v>0</v>
      </c>
      <c r="CJ3" s="57" t="str">
        <f>IF(CF3=0,"-",(CD3/CF3))</f>
        <v>-</v>
      </c>
      <c r="CK3" s="57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72">
        <f>BT3-BY3</f>
        <v>0</v>
      </c>
      <c r="CT3" s="76">
        <f aca="true" t="shared" si="18" ref="CT3:CT14">Y3-K3-L3-V3</f>
        <v>0</v>
      </c>
      <c r="CU3" s="76">
        <f aca="true" t="shared" si="19" ref="CU3:CU14">AU3-AR3</f>
        <v>0</v>
      </c>
      <c r="CV3" s="76">
        <f aca="true" t="shared" si="20" ref="CV3:CV14">CU3-CT3</f>
        <v>0</v>
      </c>
      <c r="CW3" s="76">
        <f aca="true" t="shared" si="21" ref="CW3:CW14">-V3+AR3</f>
        <v>0</v>
      </c>
      <c r="CX3" s="76">
        <f aca="true" t="shared" si="22" ref="CX3:CX14">CV3+CW3</f>
        <v>0</v>
      </c>
      <c r="CY3" s="76">
        <f aca="true" t="shared" si="23" ref="CY3:CY14">CX3-K3-L3</f>
        <v>0</v>
      </c>
      <c r="CZ3" s="76">
        <f aca="true" t="shared" si="24" ref="CZ3:CZ14">BR3-BP3</f>
        <v>0</v>
      </c>
      <c r="DA3" s="76">
        <f aca="true" t="shared" si="25" ref="DA3:DA14">K3+L3</f>
        <v>0</v>
      </c>
      <c r="DB3" s="76">
        <f aca="true" t="shared" si="26" ref="DB3:DB14">-CZ3+DA3+CY3</f>
        <v>0</v>
      </c>
      <c r="DC3" s="76">
        <f aca="true" t="shared" si="27" ref="DC3:DC14">-BP3-DA3</f>
        <v>0</v>
      </c>
      <c r="DD3" s="76">
        <f aca="true" t="shared" si="28" ref="DD3:DD14">DB3+DC3+BR3</f>
        <v>0</v>
      </c>
      <c r="DE3" s="76">
        <f aca="true" t="shared" si="29" ref="DE3:DE14">Z3+AA3+AB3</f>
        <v>0</v>
      </c>
      <c r="DF3" s="76" t="e">
        <f aca="true" t="shared" si="30" ref="DF3:DF14">CS3/B3</f>
        <v>#DIV/0!</v>
      </c>
      <c r="DG3" s="76" t="e">
        <f aca="true" t="shared" si="31" ref="DG3:DG14">CH3/B3</f>
        <v>#DIV/0!</v>
      </c>
      <c r="DH3" s="76" t="e">
        <f aca="true" t="shared" si="32" ref="DH3:DH14">DE3/B3</f>
        <v>#DIV/0!</v>
      </c>
      <c r="DI3" s="77" t="e">
        <f aca="true" t="shared" si="33" ref="DI3:DI14">CZ3/B3</f>
        <v>#DIV/0!</v>
      </c>
      <c r="DJ3" s="72" t="e">
        <f aca="true" t="shared" si="34" ref="DJ3:DJ14">DB3/B3</f>
        <v>#DIV/0!</v>
      </c>
      <c r="DK3" s="151">
        <f>CA3-BW3-BU3</f>
        <v>0</v>
      </c>
      <c r="DL3" s="72">
        <v>0</v>
      </c>
      <c r="DM3" s="72">
        <v>0</v>
      </c>
      <c r="DN3" s="63">
        <v>0</v>
      </c>
    </row>
    <row r="4" spans="1:118" ht="12.75">
      <c r="A4" s="49" t="s">
        <v>0</v>
      </c>
      <c r="B4" s="40"/>
      <c r="C4" s="36"/>
      <c r="D4" s="64"/>
      <c r="E4" s="64"/>
      <c r="F4" s="124">
        <v>0</v>
      </c>
      <c r="G4" s="13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1">
        <f t="shared" si="0"/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1">
        <f t="shared" si="1"/>
        <v>0</v>
      </c>
      <c r="X4" s="40">
        <v>0</v>
      </c>
      <c r="Y4" s="41">
        <f t="shared" si="2"/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1">
        <f t="shared" si="3"/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4">
        <f t="shared" si="4"/>
        <v>0</v>
      </c>
      <c r="AT4" s="36">
        <v>0</v>
      </c>
      <c r="AU4" s="4">
        <f t="shared" si="5"/>
        <v>0</v>
      </c>
      <c r="AV4" s="36">
        <v>0</v>
      </c>
      <c r="AW4" s="36">
        <v>0</v>
      </c>
      <c r="AX4" s="4">
        <f t="shared" si="6"/>
        <v>0</v>
      </c>
      <c r="AY4" s="40">
        <v>0</v>
      </c>
      <c r="AZ4" s="40">
        <v>0</v>
      </c>
      <c r="BA4" s="40">
        <v>0</v>
      </c>
      <c r="BB4" s="40">
        <v>0</v>
      </c>
      <c r="BC4" s="40">
        <v>0</v>
      </c>
      <c r="BD4" s="40">
        <v>0</v>
      </c>
      <c r="BE4" s="40">
        <v>0</v>
      </c>
      <c r="BF4" s="41">
        <f t="shared" si="7"/>
        <v>0</v>
      </c>
      <c r="BG4" s="40">
        <v>0</v>
      </c>
      <c r="BH4" s="40">
        <v>0</v>
      </c>
      <c r="BI4" s="40">
        <v>0</v>
      </c>
      <c r="BJ4" s="40">
        <v>0</v>
      </c>
      <c r="BK4" s="40">
        <v>0</v>
      </c>
      <c r="BL4" s="40">
        <v>0</v>
      </c>
      <c r="BM4" s="40">
        <v>0</v>
      </c>
      <c r="BN4" s="40">
        <v>0</v>
      </c>
      <c r="BO4" s="41">
        <f t="shared" si="8"/>
        <v>0</v>
      </c>
      <c r="BP4" s="40">
        <v>0</v>
      </c>
      <c r="BQ4" s="40">
        <v>0</v>
      </c>
      <c r="BR4" s="40">
        <v>0</v>
      </c>
      <c r="BS4" s="41">
        <f t="shared" si="9"/>
        <v>0</v>
      </c>
      <c r="BT4" s="36">
        <v>0</v>
      </c>
      <c r="BU4" s="36">
        <v>0</v>
      </c>
      <c r="BV4" s="36">
        <v>0</v>
      </c>
      <c r="BW4" s="36">
        <v>0</v>
      </c>
      <c r="BX4" s="4">
        <f t="shared" si="10"/>
        <v>0</v>
      </c>
      <c r="BY4" s="36">
        <v>0</v>
      </c>
      <c r="BZ4" s="36">
        <v>0</v>
      </c>
      <c r="CA4" s="36">
        <v>0</v>
      </c>
      <c r="CB4" s="4">
        <f t="shared" si="11"/>
        <v>0</v>
      </c>
      <c r="CC4" s="4">
        <f t="shared" si="12"/>
        <v>0</v>
      </c>
      <c r="CD4" s="70">
        <f t="shared" si="13"/>
        <v>0</v>
      </c>
      <c r="CE4" s="72">
        <f t="shared" si="14"/>
        <v>0</v>
      </c>
      <c r="CF4" s="72">
        <f t="shared" si="15"/>
        <v>0</v>
      </c>
      <c r="CG4" s="72">
        <f aca="true" t="shared" si="35" ref="CG4:CG31">AU4-AM4-AT4-AS4</f>
        <v>0</v>
      </c>
      <c r="CH4" s="72">
        <f t="shared" si="16"/>
        <v>0</v>
      </c>
      <c r="CI4" s="35">
        <f t="shared" si="17"/>
        <v>0</v>
      </c>
      <c r="CJ4" s="57" t="str">
        <f aca="true" t="shared" si="36" ref="CJ4:CJ31">IF(CF4=0,"-",(CD4/CF4))</f>
        <v>-</v>
      </c>
      <c r="CK4" s="57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72">
        <f aca="true" t="shared" si="45" ref="CS4:CS31">BT4-BY4</f>
        <v>0</v>
      </c>
      <c r="CT4" s="76">
        <f t="shared" si="18"/>
        <v>0</v>
      </c>
      <c r="CU4" s="76">
        <f t="shared" si="19"/>
        <v>0</v>
      </c>
      <c r="CV4" s="76">
        <f t="shared" si="20"/>
        <v>0</v>
      </c>
      <c r="CW4" s="76">
        <f t="shared" si="21"/>
        <v>0</v>
      </c>
      <c r="CX4" s="76">
        <f t="shared" si="22"/>
        <v>0</v>
      </c>
      <c r="CY4" s="76">
        <f t="shared" si="23"/>
        <v>0</v>
      </c>
      <c r="CZ4" s="76">
        <f t="shared" si="24"/>
        <v>0</v>
      </c>
      <c r="DA4" s="76">
        <f t="shared" si="25"/>
        <v>0</v>
      </c>
      <c r="DB4" s="76">
        <f t="shared" si="26"/>
        <v>0</v>
      </c>
      <c r="DC4" s="76">
        <f t="shared" si="27"/>
        <v>0</v>
      </c>
      <c r="DD4" s="76">
        <f t="shared" si="28"/>
        <v>0</v>
      </c>
      <c r="DE4" s="76">
        <f t="shared" si="29"/>
        <v>0</v>
      </c>
      <c r="DF4" s="76" t="e">
        <f t="shared" si="30"/>
        <v>#DIV/0!</v>
      </c>
      <c r="DG4" s="76" t="e">
        <f t="shared" si="31"/>
        <v>#DIV/0!</v>
      </c>
      <c r="DH4" s="76" t="e">
        <f t="shared" si="32"/>
        <v>#DIV/0!</v>
      </c>
      <c r="DI4" s="77" t="e">
        <f t="shared" si="33"/>
        <v>#DIV/0!</v>
      </c>
      <c r="DJ4" s="72" t="e">
        <f t="shared" si="34"/>
        <v>#DIV/0!</v>
      </c>
      <c r="DK4" s="151">
        <f>CA4-BW4-BU4</f>
        <v>0</v>
      </c>
      <c r="DL4" s="136">
        <v>0</v>
      </c>
      <c r="DM4" s="136">
        <v>0</v>
      </c>
      <c r="DN4" s="65">
        <v>0</v>
      </c>
    </row>
    <row r="5" spans="1:118" ht="12.75">
      <c r="A5" s="50" t="s">
        <v>32</v>
      </c>
      <c r="B5" s="41"/>
      <c r="C5" s="4"/>
      <c r="D5" s="66"/>
      <c r="E5" s="66"/>
      <c r="F5" s="8">
        <v>10</v>
      </c>
      <c r="G5" s="129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f t="shared" si="0"/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f t="shared" si="1"/>
        <v>0</v>
      </c>
      <c r="X5" s="41">
        <v>0</v>
      </c>
      <c r="Y5" s="41">
        <f t="shared" si="2"/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f t="shared" si="3"/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f t="shared" si="7"/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f t="shared" si="8"/>
        <v>0</v>
      </c>
      <c r="BP5" s="41">
        <v>0</v>
      </c>
      <c r="BQ5" s="41">
        <v>0</v>
      </c>
      <c r="BR5" s="41">
        <v>0</v>
      </c>
      <c r="BS5" s="41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70">
        <f t="shared" si="13"/>
        <v>0</v>
      </c>
      <c r="CE5" s="72">
        <f t="shared" si="14"/>
        <v>0</v>
      </c>
      <c r="CF5" s="72">
        <f t="shared" si="15"/>
        <v>0</v>
      </c>
      <c r="CG5" s="72">
        <f t="shared" si="35"/>
        <v>0</v>
      </c>
      <c r="CH5" s="72">
        <f t="shared" si="16"/>
        <v>0</v>
      </c>
      <c r="CI5" s="35">
        <f t="shared" si="17"/>
        <v>0</v>
      </c>
      <c r="CJ5" s="57" t="str">
        <f t="shared" si="36"/>
        <v>-</v>
      </c>
      <c r="CK5" s="57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72">
        <f t="shared" si="45"/>
        <v>0</v>
      </c>
      <c r="CT5" s="76">
        <f t="shared" si="18"/>
        <v>0</v>
      </c>
      <c r="CU5" s="76">
        <f t="shared" si="19"/>
        <v>0</v>
      </c>
      <c r="CV5" s="76">
        <f t="shared" si="20"/>
        <v>0</v>
      </c>
      <c r="CW5" s="76">
        <f t="shared" si="21"/>
        <v>0</v>
      </c>
      <c r="CX5" s="76">
        <f t="shared" si="22"/>
        <v>0</v>
      </c>
      <c r="CY5" s="76">
        <f t="shared" si="23"/>
        <v>0</v>
      </c>
      <c r="CZ5" s="76">
        <f t="shared" si="24"/>
        <v>0</v>
      </c>
      <c r="DA5" s="76">
        <f t="shared" si="25"/>
        <v>0</v>
      </c>
      <c r="DB5" s="76">
        <f t="shared" si="26"/>
        <v>0</v>
      </c>
      <c r="DC5" s="76">
        <f t="shared" si="27"/>
        <v>0</v>
      </c>
      <c r="DD5" s="76">
        <f t="shared" si="28"/>
        <v>0</v>
      </c>
      <c r="DE5" s="76">
        <f t="shared" si="29"/>
        <v>0</v>
      </c>
      <c r="DF5" s="76" t="e">
        <f t="shared" si="30"/>
        <v>#DIV/0!</v>
      </c>
      <c r="DG5" s="76" t="e">
        <f t="shared" si="31"/>
        <v>#DIV/0!</v>
      </c>
      <c r="DH5" s="76" t="e">
        <f t="shared" si="32"/>
        <v>#DIV/0!</v>
      </c>
      <c r="DI5" s="77" t="e">
        <f t="shared" si="33"/>
        <v>#DIV/0!</v>
      </c>
      <c r="DJ5" s="72" t="e">
        <f t="shared" si="34"/>
        <v>#DIV/0!</v>
      </c>
      <c r="DK5" s="151">
        <f aca="true" t="shared" si="46" ref="DK5:DK31">CA5-BW5-BU5</f>
        <v>0</v>
      </c>
      <c r="DL5" s="72">
        <v>0</v>
      </c>
      <c r="DM5" s="72">
        <v>0</v>
      </c>
      <c r="DN5" s="63">
        <v>0</v>
      </c>
    </row>
    <row r="6" spans="1:118" ht="12.75">
      <c r="A6" s="49" t="s">
        <v>1</v>
      </c>
      <c r="B6" s="40"/>
      <c r="C6" s="36"/>
      <c r="D6" s="64"/>
      <c r="E6" s="64"/>
      <c r="F6" s="124"/>
      <c r="G6" s="13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1">
        <f t="shared" si="0"/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1">
        <f t="shared" si="1"/>
        <v>0</v>
      </c>
      <c r="X6" s="40">
        <v>0</v>
      </c>
      <c r="Y6" s="41">
        <f t="shared" si="2"/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1">
        <f t="shared" si="3"/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4">
        <f t="shared" si="4"/>
        <v>0</v>
      </c>
      <c r="AT6" s="36">
        <v>0</v>
      </c>
      <c r="AU6" s="4">
        <f t="shared" si="5"/>
        <v>0</v>
      </c>
      <c r="AV6" s="36">
        <v>0</v>
      </c>
      <c r="AW6" s="36">
        <v>0</v>
      </c>
      <c r="AX6" s="4">
        <f t="shared" si="6"/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1">
        <f t="shared" si="7"/>
        <v>0</v>
      </c>
      <c r="BG6" s="40">
        <v>0</v>
      </c>
      <c r="BH6" s="40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1">
        <f t="shared" si="8"/>
        <v>0</v>
      </c>
      <c r="BP6" s="40">
        <v>0</v>
      </c>
      <c r="BQ6" s="40">
        <v>0</v>
      </c>
      <c r="BR6" s="40">
        <v>0</v>
      </c>
      <c r="BS6" s="41">
        <f t="shared" si="9"/>
        <v>0</v>
      </c>
      <c r="BT6" s="36">
        <v>0</v>
      </c>
      <c r="BU6" s="36">
        <v>0</v>
      </c>
      <c r="BV6" s="36">
        <v>0</v>
      </c>
      <c r="BW6" s="36">
        <v>0</v>
      </c>
      <c r="BX6" s="4">
        <f t="shared" si="10"/>
        <v>0</v>
      </c>
      <c r="BY6" s="36">
        <v>0</v>
      </c>
      <c r="BZ6" s="36">
        <v>0</v>
      </c>
      <c r="CA6" s="36">
        <v>0</v>
      </c>
      <c r="CB6" s="4">
        <f t="shared" si="11"/>
        <v>0</v>
      </c>
      <c r="CC6" s="4">
        <f t="shared" si="12"/>
        <v>0</v>
      </c>
      <c r="CD6" s="70">
        <f t="shared" si="13"/>
        <v>0</v>
      </c>
      <c r="CE6" s="72">
        <f t="shared" si="14"/>
        <v>0</v>
      </c>
      <c r="CF6" s="72">
        <f t="shared" si="15"/>
        <v>0</v>
      </c>
      <c r="CG6" s="72">
        <f t="shared" si="35"/>
        <v>0</v>
      </c>
      <c r="CH6" s="72">
        <f t="shared" si="16"/>
        <v>0</v>
      </c>
      <c r="CI6" s="35">
        <f t="shared" si="17"/>
        <v>0</v>
      </c>
      <c r="CJ6" s="57" t="str">
        <f t="shared" si="36"/>
        <v>-</v>
      </c>
      <c r="CK6" s="57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72">
        <f t="shared" si="45"/>
        <v>0</v>
      </c>
      <c r="CT6" s="76">
        <f t="shared" si="18"/>
        <v>0</v>
      </c>
      <c r="CU6" s="76">
        <f t="shared" si="19"/>
        <v>0</v>
      </c>
      <c r="CV6" s="76">
        <f t="shared" si="20"/>
        <v>0</v>
      </c>
      <c r="CW6" s="76">
        <f t="shared" si="21"/>
        <v>0</v>
      </c>
      <c r="CX6" s="76">
        <f t="shared" si="22"/>
        <v>0</v>
      </c>
      <c r="CY6" s="76">
        <f t="shared" si="23"/>
        <v>0</v>
      </c>
      <c r="CZ6" s="76">
        <f t="shared" si="24"/>
        <v>0</v>
      </c>
      <c r="DA6" s="76">
        <f t="shared" si="25"/>
        <v>0</v>
      </c>
      <c r="DB6" s="76">
        <f t="shared" si="26"/>
        <v>0</v>
      </c>
      <c r="DC6" s="76">
        <f t="shared" si="27"/>
        <v>0</v>
      </c>
      <c r="DD6" s="76">
        <f t="shared" si="28"/>
        <v>0</v>
      </c>
      <c r="DE6" s="76">
        <f t="shared" si="29"/>
        <v>0</v>
      </c>
      <c r="DF6" s="76" t="e">
        <f t="shared" si="30"/>
        <v>#DIV/0!</v>
      </c>
      <c r="DG6" s="76" t="e">
        <f t="shared" si="31"/>
        <v>#DIV/0!</v>
      </c>
      <c r="DH6" s="76" t="e">
        <f t="shared" si="32"/>
        <v>#DIV/0!</v>
      </c>
      <c r="DI6" s="77" t="e">
        <f t="shared" si="33"/>
        <v>#DIV/0!</v>
      </c>
      <c r="DJ6" s="72" t="e">
        <f t="shared" si="34"/>
        <v>#DIV/0!</v>
      </c>
      <c r="DK6" s="151">
        <f t="shared" si="46"/>
        <v>0</v>
      </c>
      <c r="DL6" s="136">
        <v>0</v>
      </c>
      <c r="DM6" s="136">
        <v>0</v>
      </c>
      <c r="DN6" s="65">
        <v>0</v>
      </c>
    </row>
    <row r="7" spans="1:118" ht="12.75">
      <c r="A7" s="50" t="s">
        <v>2</v>
      </c>
      <c r="B7" s="41"/>
      <c r="C7" s="4"/>
      <c r="D7" s="66"/>
      <c r="E7" s="66"/>
      <c r="F7" s="8">
        <v>10</v>
      </c>
      <c r="G7" s="143" t="e">
        <f>(G50/($B$50)*$B$7)+(G48)</f>
        <v>#DIV/0!</v>
      </c>
      <c r="H7" s="143" t="e">
        <f aca="true" t="shared" si="47" ref="H7:BU7">(H50/($B$50)*$B$7)+(H48)</f>
        <v>#DIV/0!</v>
      </c>
      <c r="I7" s="143" t="e">
        <f t="shared" si="47"/>
        <v>#DIV/0!</v>
      </c>
      <c r="J7" s="143" t="e">
        <f t="shared" si="47"/>
        <v>#DIV/0!</v>
      </c>
      <c r="K7" s="143" t="e">
        <f t="shared" si="47"/>
        <v>#DIV/0!</v>
      </c>
      <c r="L7" s="143" t="e">
        <f t="shared" si="47"/>
        <v>#DIV/0!</v>
      </c>
      <c r="M7" s="41" t="e">
        <f t="shared" si="0"/>
        <v>#DIV/0!</v>
      </c>
      <c r="N7" s="143" t="e">
        <f t="shared" si="47"/>
        <v>#DIV/0!</v>
      </c>
      <c r="O7" s="143" t="e">
        <f t="shared" si="47"/>
        <v>#DIV/0!</v>
      </c>
      <c r="P7" s="143" t="e">
        <f t="shared" si="47"/>
        <v>#DIV/0!</v>
      </c>
      <c r="Q7" s="143" t="e">
        <f t="shared" si="47"/>
        <v>#DIV/0!</v>
      </c>
      <c r="R7" s="143" t="e">
        <f t="shared" si="47"/>
        <v>#DIV/0!</v>
      </c>
      <c r="S7" s="143" t="e">
        <f t="shared" si="47"/>
        <v>#DIV/0!</v>
      </c>
      <c r="T7" s="143" t="e">
        <f t="shared" si="47"/>
        <v>#DIV/0!</v>
      </c>
      <c r="U7" s="143" t="e">
        <f t="shared" si="47"/>
        <v>#DIV/0!</v>
      </c>
      <c r="V7" s="143" t="e">
        <f t="shared" si="47"/>
        <v>#DIV/0!</v>
      </c>
      <c r="W7" s="41" t="e">
        <f t="shared" si="1"/>
        <v>#DIV/0!</v>
      </c>
      <c r="X7" s="143" t="e">
        <f t="shared" si="47"/>
        <v>#DIV/0!</v>
      </c>
      <c r="Y7" s="41" t="e">
        <f t="shared" si="2"/>
        <v>#DIV/0!</v>
      </c>
      <c r="Z7" s="143" t="e">
        <f t="shared" si="47"/>
        <v>#DIV/0!</v>
      </c>
      <c r="AA7" s="143" t="e">
        <f t="shared" si="47"/>
        <v>#DIV/0!</v>
      </c>
      <c r="AB7" s="143" t="e">
        <f t="shared" si="47"/>
        <v>#DIV/0!</v>
      </c>
      <c r="AC7" s="143" t="e">
        <f t="shared" si="47"/>
        <v>#DIV/0!</v>
      </c>
      <c r="AD7" s="143" t="e">
        <f t="shared" si="47"/>
        <v>#DIV/0!</v>
      </c>
      <c r="AE7" s="41" t="e">
        <f t="shared" si="3"/>
        <v>#DIV/0!</v>
      </c>
      <c r="AF7" s="143" t="e">
        <f t="shared" si="47"/>
        <v>#DIV/0!</v>
      </c>
      <c r="AG7" s="143" t="e">
        <f t="shared" si="47"/>
        <v>#DIV/0!</v>
      </c>
      <c r="AH7" s="143" t="e">
        <f t="shared" si="47"/>
        <v>#DIV/0!</v>
      </c>
      <c r="AI7" s="143" t="e">
        <f t="shared" si="47"/>
        <v>#DIV/0!</v>
      </c>
      <c r="AJ7" s="143" t="e">
        <f t="shared" si="47"/>
        <v>#DIV/0!</v>
      </c>
      <c r="AK7" s="143" t="e">
        <f t="shared" si="47"/>
        <v>#DIV/0!</v>
      </c>
      <c r="AL7" s="143" t="e">
        <f t="shared" si="47"/>
        <v>#DIV/0!</v>
      </c>
      <c r="AM7" s="143" t="e">
        <f t="shared" si="47"/>
        <v>#DIV/0!</v>
      </c>
      <c r="AN7" s="143" t="e">
        <f t="shared" si="47"/>
        <v>#DIV/0!</v>
      </c>
      <c r="AO7" s="143" t="e">
        <f t="shared" si="47"/>
        <v>#DIV/0!</v>
      </c>
      <c r="AP7" s="143" t="e">
        <f t="shared" si="47"/>
        <v>#DIV/0!</v>
      </c>
      <c r="AQ7" s="143" t="e">
        <f t="shared" si="47"/>
        <v>#DIV/0!</v>
      </c>
      <c r="AR7" s="143" t="e">
        <f t="shared" si="47"/>
        <v>#DIV/0!</v>
      </c>
      <c r="AS7" s="4" t="e">
        <f t="shared" si="4"/>
        <v>#DIV/0!</v>
      </c>
      <c r="AT7" s="143" t="e">
        <f t="shared" si="47"/>
        <v>#DIV/0!</v>
      </c>
      <c r="AU7" s="4" t="e">
        <f t="shared" si="5"/>
        <v>#DIV/0!</v>
      </c>
      <c r="AV7" s="143" t="e">
        <f t="shared" si="47"/>
        <v>#DIV/0!</v>
      </c>
      <c r="AW7" s="143" t="e">
        <f t="shared" si="47"/>
        <v>#DIV/0!</v>
      </c>
      <c r="AX7" s="4" t="e">
        <f t="shared" si="6"/>
        <v>#DIV/0!</v>
      </c>
      <c r="AY7" s="143" t="e">
        <f t="shared" si="47"/>
        <v>#DIV/0!</v>
      </c>
      <c r="AZ7" s="143" t="e">
        <f t="shared" si="47"/>
        <v>#DIV/0!</v>
      </c>
      <c r="BA7" s="143" t="e">
        <f t="shared" si="47"/>
        <v>#DIV/0!</v>
      </c>
      <c r="BB7" s="143" t="e">
        <f t="shared" si="47"/>
        <v>#DIV/0!</v>
      </c>
      <c r="BC7" s="143" t="e">
        <f t="shared" si="47"/>
        <v>#DIV/0!</v>
      </c>
      <c r="BD7" s="143" t="e">
        <f t="shared" si="47"/>
        <v>#DIV/0!</v>
      </c>
      <c r="BE7" s="143" t="e">
        <f t="shared" si="47"/>
        <v>#DIV/0!</v>
      </c>
      <c r="BF7" s="41" t="e">
        <f t="shared" si="7"/>
        <v>#DIV/0!</v>
      </c>
      <c r="BG7" s="143" t="e">
        <f t="shared" si="47"/>
        <v>#DIV/0!</v>
      </c>
      <c r="BH7" s="143" t="e">
        <f t="shared" si="47"/>
        <v>#DIV/0!</v>
      </c>
      <c r="BI7" s="143" t="e">
        <f t="shared" si="47"/>
        <v>#DIV/0!</v>
      </c>
      <c r="BJ7" s="143" t="e">
        <f t="shared" si="47"/>
        <v>#DIV/0!</v>
      </c>
      <c r="BK7" s="143" t="e">
        <f t="shared" si="47"/>
        <v>#DIV/0!</v>
      </c>
      <c r="BL7" s="143" t="e">
        <f t="shared" si="47"/>
        <v>#DIV/0!</v>
      </c>
      <c r="BM7" s="143" t="e">
        <f t="shared" si="47"/>
        <v>#DIV/0!</v>
      </c>
      <c r="BN7" s="143" t="e">
        <f t="shared" si="47"/>
        <v>#DIV/0!</v>
      </c>
      <c r="BO7" s="41" t="e">
        <f t="shared" si="8"/>
        <v>#DIV/0!</v>
      </c>
      <c r="BP7" s="143" t="e">
        <f t="shared" si="47"/>
        <v>#DIV/0!</v>
      </c>
      <c r="BQ7" s="143" t="e">
        <f t="shared" si="47"/>
        <v>#DIV/0!</v>
      </c>
      <c r="BR7" s="143" t="e">
        <f t="shared" si="47"/>
        <v>#DIV/0!</v>
      </c>
      <c r="BS7" s="41" t="e">
        <f t="shared" si="9"/>
        <v>#DIV/0!</v>
      </c>
      <c r="BT7" s="143" t="e">
        <f t="shared" si="47"/>
        <v>#DIV/0!</v>
      </c>
      <c r="BU7" s="143" t="e">
        <f t="shared" si="47"/>
        <v>#DIV/0!</v>
      </c>
      <c r="BV7" s="143" t="e">
        <f aca="true" t="shared" si="48" ref="BV7:CA7">(BV50/($B$50)*$B$7)+(BV48)</f>
        <v>#DIV/0!</v>
      </c>
      <c r="BW7" s="143" t="e">
        <f t="shared" si="48"/>
        <v>#DIV/0!</v>
      </c>
      <c r="BX7" s="4" t="e">
        <f t="shared" si="10"/>
        <v>#DIV/0!</v>
      </c>
      <c r="BY7" s="143" t="e">
        <f t="shared" si="48"/>
        <v>#DIV/0!</v>
      </c>
      <c r="BZ7" s="143" t="e">
        <f t="shared" si="48"/>
        <v>#DIV/0!</v>
      </c>
      <c r="CA7" s="143" t="e">
        <f t="shared" si="48"/>
        <v>#DIV/0!</v>
      </c>
      <c r="CB7" s="4" t="e">
        <f t="shared" si="11"/>
        <v>#DIV/0!</v>
      </c>
      <c r="CC7" s="4" t="e">
        <f t="shared" si="12"/>
        <v>#DIV/0!</v>
      </c>
      <c r="CD7" s="70" t="e">
        <f t="shared" si="13"/>
        <v>#DIV/0!</v>
      </c>
      <c r="CE7" s="72" t="e">
        <f t="shared" si="14"/>
        <v>#DIV/0!</v>
      </c>
      <c r="CF7" s="72" t="e">
        <f t="shared" si="15"/>
        <v>#DIV/0!</v>
      </c>
      <c r="CG7" s="72" t="e">
        <f t="shared" si="35"/>
        <v>#DIV/0!</v>
      </c>
      <c r="CH7" s="72" t="e">
        <f t="shared" si="16"/>
        <v>#DIV/0!</v>
      </c>
      <c r="CI7" s="35" t="e">
        <f t="shared" si="17"/>
        <v>#DIV/0!</v>
      </c>
      <c r="CJ7" s="57" t="e">
        <f t="shared" si="36"/>
        <v>#DIV/0!</v>
      </c>
      <c r="CK7" s="57" t="e">
        <f t="shared" si="37"/>
        <v>#DIV/0!</v>
      </c>
      <c r="CL7" s="148" t="e">
        <f t="shared" si="38"/>
        <v>#DIV/0!</v>
      </c>
      <c r="CM7" s="148" t="e">
        <f t="shared" si="39"/>
        <v>#DIV/0!</v>
      </c>
      <c r="CN7" s="148" t="e">
        <f t="shared" si="40"/>
        <v>#DIV/0!</v>
      </c>
      <c r="CO7" s="148" t="e">
        <f t="shared" si="41"/>
        <v>#DIV/0!</v>
      </c>
      <c r="CP7" s="148" t="e">
        <f t="shared" si="42"/>
        <v>#DIV/0!</v>
      </c>
      <c r="CQ7" s="148" t="e">
        <f t="shared" si="43"/>
        <v>#DIV/0!</v>
      </c>
      <c r="CR7" s="149" t="e">
        <f t="shared" si="44"/>
        <v>#DIV/0!</v>
      </c>
      <c r="CS7" s="72" t="e">
        <f t="shared" si="45"/>
        <v>#DIV/0!</v>
      </c>
      <c r="CT7" s="76" t="e">
        <f t="shared" si="18"/>
        <v>#DIV/0!</v>
      </c>
      <c r="CU7" s="76" t="e">
        <f t="shared" si="19"/>
        <v>#DIV/0!</v>
      </c>
      <c r="CV7" s="76" t="e">
        <f t="shared" si="20"/>
        <v>#DIV/0!</v>
      </c>
      <c r="CW7" s="76" t="e">
        <f t="shared" si="21"/>
        <v>#DIV/0!</v>
      </c>
      <c r="CX7" s="76" t="e">
        <f t="shared" si="22"/>
        <v>#DIV/0!</v>
      </c>
      <c r="CY7" s="76" t="e">
        <f t="shared" si="23"/>
        <v>#DIV/0!</v>
      </c>
      <c r="CZ7" s="76" t="e">
        <f t="shared" si="24"/>
        <v>#DIV/0!</v>
      </c>
      <c r="DA7" s="76" t="e">
        <f t="shared" si="25"/>
        <v>#DIV/0!</v>
      </c>
      <c r="DB7" s="76" t="e">
        <f t="shared" si="26"/>
        <v>#DIV/0!</v>
      </c>
      <c r="DC7" s="76" t="e">
        <f t="shared" si="27"/>
        <v>#DIV/0!</v>
      </c>
      <c r="DD7" s="76" t="e">
        <f t="shared" si="28"/>
        <v>#DIV/0!</v>
      </c>
      <c r="DE7" s="76" t="e">
        <f t="shared" si="29"/>
        <v>#DIV/0!</v>
      </c>
      <c r="DF7" s="76" t="e">
        <f t="shared" si="30"/>
        <v>#DIV/0!</v>
      </c>
      <c r="DG7" s="76" t="e">
        <f t="shared" si="31"/>
        <v>#DIV/0!</v>
      </c>
      <c r="DH7" s="76" t="e">
        <f t="shared" si="32"/>
        <v>#DIV/0!</v>
      </c>
      <c r="DI7" s="77" t="e">
        <f t="shared" si="33"/>
        <v>#DIV/0!</v>
      </c>
      <c r="DJ7" s="72" t="e">
        <f t="shared" si="34"/>
        <v>#DIV/0!</v>
      </c>
      <c r="DK7" s="151" t="e">
        <f t="shared" si="46"/>
        <v>#DIV/0!</v>
      </c>
      <c r="DL7" s="72">
        <v>0</v>
      </c>
      <c r="DM7" s="72">
        <v>0</v>
      </c>
      <c r="DN7" s="63">
        <v>0</v>
      </c>
    </row>
    <row r="8" spans="1:118" ht="12.75">
      <c r="A8" s="49" t="s">
        <v>3</v>
      </c>
      <c r="B8" s="40"/>
      <c r="C8" s="36"/>
      <c r="D8" s="64"/>
      <c r="E8" s="64"/>
      <c r="F8" s="124">
        <v>10</v>
      </c>
      <c r="G8" s="130" t="e">
        <f>(G49/($B$49)*$B$8)+(G50/($B$50)*$B$8)+(G46)</f>
        <v>#DIV/0!</v>
      </c>
      <c r="H8" s="130" t="e">
        <f aca="true" t="shared" si="49" ref="H8:BU8">(H49/($B$49)*$B$8)+(H50/($B$50)*$B$8)+(H46)</f>
        <v>#DIV/0!</v>
      </c>
      <c r="I8" s="130" t="e">
        <f t="shared" si="49"/>
        <v>#DIV/0!</v>
      </c>
      <c r="J8" s="130" t="e">
        <f t="shared" si="49"/>
        <v>#DIV/0!</v>
      </c>
      <c r="K8" s="130" t="e">
        <f t="shared" si="49"/>
        <v>#DIV/0!</v>
      </c>
      <c r="L8" s="130" t="e">
        <f t="shared" si="49"/>
        <v>#DIV/0!</v>
      </c>
      <c r="M8" s="41" t="e">
        <f t="shared" si="0"/>
        <v>#DIV/0!</v>
      </c>
      <c r="N8" s="130" t="e">
        <f t="shared" si="49"/>
        <v>#DIV/0!</v>
      </c>
      <c r="O8" s="130" t="e">
        <f t="shared" si="49"/>
        <v>#DIV/0!</v>
      </c>
      <c r="P8" s="130" t="e">
        <f t="shared" si="49"/>
        <v>#DIV/0!</v>
      </c>
      <c r="Q8" s="130" t="e">
        <f t="shared" si="49"/>
        <v>#DIV/0!</v>
      </c>
      <c r="R8" s="130" t="e">
        <f t="shared" si="49"/>
        <v>#DIV/0!</v>
      </c>
      <c r="S8" s="130" t="e">
        <f t="shared" si="49"/>
        <v>#DIV/0!</v>
      </c>
      <c r="T8" s="130" t="e">
        <f t="shared" si="49"/>
        <v>#DIV/0!</v>
      </c>
      <c r="U8" s="130" t="e">
        <f t="shared" si="49"/>
        <v>#DIV/0!</v>
      </c>
      <c r="V8" s="130" t="e">
        <f t="shared" si="49"/>
        <v>#DIV/0!</v>
      </c>
      <c r="W8" s="41" t="e">
        <f t="shared" si="1"/>
        <v>#DIV/0!</v>
      </c>
      <c r="X8" s="130" t="e">
        <f t="shared" si="49"/>
        <v>#DIV/0!</v>
      </c>
      <c r="Y8" s="41" t="e">
        <f t="shared" si="2"/>
        <v>#DIV/0!</v>
      </c>
      <c r="Z8" s="130" t="e">
        <f t="shared" si="49"/>
        <v>#DIV/0!</v>
      </c>
      <c r="AA8" s="130" t="e">
        <f t="shared" si="49"/>
        <v>#DIV/0!</v>
      </c>
      <c r="AB8" s="130" t="e">
        <f t="shared" si="49"/>
        <v>#DIV/0!</v>
      </c>
      <c r="AC8" s="130" t="e">
        <f t="shared" si="49"/>
        <v>#DIV/0!</v>
      </c>
      <c r="AD8" s="130" t="e">
        <f t="shared" si="49"/>
        <v>#DIV/0!</v>
      </c>
      <c r="AE8" s="41" t="e">
        <f t="shared" si="3"/>
        <v>#DIV/0!</v>
      </c>
      <c r="AF8" s="130" t="e">
        <f t="shared" si="49"/>
        <v>#DIV/0!</v>
      </c>
      <c r="AG8" s="130" t="e">
        <f t="shared" si="49"/>
        <v>#DIV/0!</v>
      </c>
      <c r="AH8" s="130" t="e">
        <f t="shared" si="49"/>
        <v>#DIV/0!</v>
      </c>
      <c r="AI8" s="130" t="e">
        <f t="shared" si="49"/>
        <v>#DIV/0!</v>
      </c>
      <c r="AJ8" s="130" t="e">
        <f t="shared" si="49"/>
        <v>#DIV/0!</v>
      </c>
      <c r="AK8" s="130" t="e">
        <f t="shared" si="49"/>
        <v>#DIV/0!</v>
      </c>
      <c r="AL8" s="130" t="e">
        <f t="shared" si="49"/>
        <v>#DIV/0!</v>
      </c>
      <c r="AM8" s="130" t="e">
        <f t="shared" si="49"/>
        <v>#DIV/0!</v>
      </c>
      <c r="AN8" s="130" t="e">
        <f t="shared" si="49"/>
        <v>#DIV/0!</v>
      </c>
      <c r="AO8" s="130" t="e">
        <f t="shared" si="49"/>
        <v>#DIV/0!</v>
      </c>
      <c r="AP8" s="130" t="e">
        <f t="shared" si="49"/>
        <v>#DIV/0!</v>
      </c>
      <c r="AQ8" s="130" t="e">
        <f t="shared" si="49"/>
        <v>#DIV/0!</v>
      </c>
      <c r="AR8" s="130" t="e">
        <f t="shared" si="49"/>
        <v>#DIV/0!</v>
      </c>
      <c r="AS8" s="4" t="e">
        <f t="shared" si="4"/>
        <v>#DIV/0!</v>
      </c>
      <c r="AT8" s="130" t="e">
        <f t="shared" si="49"/>
        <v>#DIV/0!</v>
      </c>
      <c r="AU8" s="4" t="e">
        <f t="shared" si="5"/>
        <v>#DIV/0!</v>
      </c>
      <c r="AV8" s="130" t="e">
        <f t="shared" si="49"/>
        <v>#DIV/0!</v>
      </c>
      <c r="AW8" s="130" t="e">
        <f t="shared" si="49"/>
        <v>#DIV/0!</v>
      </c>
      <c r="AX8" s="4" t="e">
        <f t="shared" si="6"/>
        <v>#DIV/0!</v>
      </c>
      <c r="AY8" s="130" t="e">
        <f t="shared" si="49"/>
        <v>#DIV/0!</v>
      </c>
      <c r="AZ8" s="130" t="e">
        <f t="shared" si="49"/>
        <v>#DIV/0!</v>
      </c>
      <c r="BA8" s="130" t="e">
        <f t="shared" si="49"/>
        <v>#DIV/0!</v>
      </c>
      <c r="BB8" s="130" t="e">
        <f t="shared" si="49"/>
        <v>#DIV/0!</v>
      </c>
      <c r="BC8" s="130" t="e">
        <f t="shared" si="49"/>
        <v>#DIV/0!</v>
      </c>
      <c r="BD8" s="130" t="e">
        <f t="shared" si="49"/>
        <v>#DIV/0!</v>
      </c>
      <c r="BE8" s="130" t="e">
        <f t="shared" si="49"/>
        <v>#DIV/0!</v>
      </c>
      <c r="BF8" s="41" t="e">
        <f t="shared" si="7"/>
        <v>#DIV/0!</v>
      </c>
      <c r="BG8" s="130" t="e">
        <f t="shared" si="49"/>
        <v>#DIV/0!</v>
      </c>
      <c r="BH8" s="130" t="e">
        <f t="shared" si="49"/>
        <v>#DIV/0!</v>
      </c>
      <c r="BI8" s="130" t="e">
        <f t="shared" si="49"/>
        <v>#DIV/0!</v>
      </c>
      <c r="BJ8" s="130" t="e">
        <f t="shared" si="49"/>
        <v>#DIV/0!</v>
      </c>
      <c r="BK8" s="130" t="e">
        <f t="shared" si="49"/>
        <v>#DIV/0!</v>
      </c>
      <c r="BL8" s="130" t="e">
        <f t="shared" si="49"/>
        <v>#DIV/0!</v>
      </c>
      <c r="BM8" s="130" t="e">
        <f t="shared" si="49"/>
        <v>#DIV/0!</v>
      </c>
      <c r="BN8" s="130" t="e">
        <f t="shared" si="49"/>
        <v>#DIV/0!</v>
      </c>
      <c r="BO8" s="41" t="e">
        <f t="shared" si="8"/>
        <v>#DIV/0!</v>
      </c>
      <c r="BP8" s="130" t="e">
        <f t="shared" si="49"/>
        <v>#DIV/0!</v>
      </c>
      <c r="BQ8" s="130" t="e">
        <f t="shared" si="49"/>
        <v>#DIV/0!</v>
      </c>
      <c r="BR8" s="130" t="e">
        <f t="shared" si="49"/>
        <v>#DIV/0!</v>
      </c>
      <c r="BS8" s="41" t="e">
        <f t="shared" si="9"/>
        <v>#DIV/0!</v>
      </c>
      <c r="BT8" s="130" t="e">
        <f t="shared" si="49"/>
        <v>#DIV/0!</v>
      </c>
      <c r="BU8" s="130" t="e">
        <f t="shared" si="49"/>
        <v>#DIV/0!</v>
      </c>
      <c r="BV8" s="130" t="e">
        <f aca="true" t="shared" si="50" ref="BV8:CA8">(BV49/($B$49)*$B$8)+(BV50/($B$50)*$B$8)+(BV46)</f>
        <v>#DIV/0!</v>
      </c>
      <c r="BW8" s="130" t="e">
        <f t="shared" si="50"/>
        <v>#DIV/0!</v>
      </c>
      <c r="BX8" s="4" t="e">
        <f t="shared" si="10"/>
        <v>#DIV/0!</v>
      </c>
      <c r="BY8" s="130" t="e">
        <f t="shared" si="50"/>
        <v>#DIV/0!</v>
      </c>
      <c r="BZ8" s="130" t="e">
        <f t="shared" si="50"/>
        <v>#DIV/0!</v>
      </c>
      <c r="CA8" s="130" t="e">
        <f t="shared" si="50"/>
        <v>#DIV/0!</v>
      </c>
      <c r="CB8" s="4" t="e">
        <f t="shared" si="11"/>
        <v>#DIV/0!</v>
      </c>
      <c r="CC8" s="4" t="e">
        <f t="shared" si="12"/>
        <v>#DIV/0!</v>
      </c>
      <c r="CD8" s="70" t="e">
        <f t="shared" si="13"/>
        <v>#DIV/0!</v>
      </c>
      <c r="CE8" s="72" t="e">
        <f t="shared" si="14"/>
        <v>#DIV/0!</v>
      </c>
      <c r="CF8" s="72" t="e">
        <f t="shared" si="15"/>
        <v>#DIV/0!</v>
      </c>
      <c r="CG8" s="72" t="e">
        <f t="shared" si="35"/>
        <v>#DIV/0!</v>
      </c>
      <c r="CH8" s="72" t="e">
        <f t="shared" si="16"/>
        <v>#DIV/0!</v>
      </c>
      <c r="CI8" s="35" t="e">
        <f t="shared" si="17"/>
        <v>#DIV/0!</v>
      </c>
      <c r="CJ8" s="57" t="e">
        <f t="shared" si="36"/>
        <v>#DIV/0!</v>
      </c>
      <c r="CK8" s="57" t="e">
        <f t="shared" si="37"/>
        <v>#DIV/0!</v>
      </c>
      <c r="CL8" s="148" t="e">
        <f t="shared" si="38"/>
        <v>#DIV/0!</v>
      </c>
      <c r="CM8" s="148" t="e">
        <f t="shared" si="39"/>
        <v>#DIV/0!</v>
      </c>
      <c r="CN8" s="148" t="e">
        <f t="shared" si="40"/>
        <v>#DIV/0!</v>
      </c>
      <c r="CO8" s="148" t="e">
        <f t="shared" si="41"/>
        <v>#DIV/0!</v>
      </c>
      <c r="CP8" s="148" t="e">
        <f t="shared" si="42"/>
        <v>#DIV/0!</v>
      </c>
      <c r="CQ8" s="148" t="e">
        <f t="shared" si="43"/>
        <v>#DIV/0!</v>
      </c>
      <c r="CR8" s="149" t="e">
        <f t="shared" si="44"/>
        <v>#DIV/0!</v>
      </c>
      <c r="CS8" s="72" t="e">
        <f t="shared" si="45"/>
        <v>#DIV/0!</v>
      </c>
      <c r="CT8" s="76" t="e">
        <f t="shared" si="18"/>
        <v>#DIV/0!</v>
      </c>
      <c r="CU8" s="76" t="e">
        <f t="shared" si="19"/>
        <v>#DIV/0!</v>
      </c>
      <c r="CV8" s="76" t="e">
        <f t="shared" si="20"/>
        <v>#DIV/0!</v>
      </c>
      <c r="CW8" s="76" t="e">
        <f t="shared" si="21"/>
        <v>#DIV/0!</v>
      </c>
      <c r="CX8" s="76" t="e">
        <f t="shared" si="22"/>
        <v>#DIV/0!</v>
      </c>
      <c r="CY8" s="76" t="e">
        <f t="shared" si="23"/>
        <v>#DIV/0!</v>
      </c>
      <c r="CZ8" s="76" t="e">
        <f t="shared" si="24"/>
        <v>#DIV/0!</v>
      </c>
      <c r="DA8" s="76" t="e">
        <f t="shared" si="25"/>
        <v>#DIV/0!</v>
      </c>
      <c r="DB8" s="76" t="e">
        <f t="shared" si="26"/>
        <v>#DIV/0!</v>
      </c>
      <c r="DC8" s="76" t="e">
        <f t="shared" si="27"/>
        <v>#DIV/0!</v>
      </c>
      <c r="DD8" s="76" t="e">
        <f t="shared" si="28"/>
        <v>#DIV/0!</v>
      </c>
      <c r="DE8" s="76" t="e">
        <f t="shared" si="29"/>
        <v>#DIV/0!</v>
      </c>
      <c r="DF8" s="76" t="e">
        <f t="shared" si="30"/>
        <v>#DIV/0!</v>
      </c>
      <c r="DG8" s="76" t="e">
        <f t="shared" si="31"/>
        <v>#DIV/0!</v>
      </c>
      <c r="DH8" s="76" t="e">
        <f t="shared" si="32"/>
        <v>#DIV/0!</v>
      </c>
      <c r="DI8" s="77" t="e">
        <f t="shared" si="33"/>
        <v>#DIV/0!</v>
      </c>
      <c r="DJ8" s="72" t="e">
        <f t="shared" si="34"/>
        <v>#DIV/0!</v>
      </c>
      <c r="DK8" s="151" t="e">
        <f t="shared" si="46"/>
        <v>#DIV/0!</v>
      </c>
      <c r="DL8" s="136">
        <v>0</v>
      </c>
      <c r="DM8" s="136">
        <v>0</v>
      </c>
      <c r="DN8" s="65">
        <v>0</v>
      </c>
    </row>
    <row r="9" spans="1:118" ht="12.75">
      <c r="A9" s="50" t="s">
        <v>4</v>
      </c>
      <c r="B9" s="41"/>
      <c r="C9" s="4"/>
      <c r="D9" s="66"/>
      <c r="E9" s="66"/>
      <c r="F9" s="8">
        <v>10</v>
      </c>
      <c r="G9" s="129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f t="shared" si="0"/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f t="shared" si="1"/>
        <v>0</v>
      </c>
      <c r="X9" s="41">
        <v>0</v>
      </c>
      <c r="Y9" s="41">
        <f t="shared" si="2"/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f t="shared" si="3"/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f t="shared" si="7"/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f t="shared" si="8"/>
        <v>0</v>
      </c>
      <c r="BP9" s="41">
        <v>0</v>
      </c>
      <c r="BQ9" s="41">
        <v>0</v>
      </c>
      <c r="BR9" s="41">
        <v>0</v>
      </c>
      <c r="BS9" s="41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70">
        <f t="shared" si="13"/>
        <v>0</v>
      </c>
      <c r="CE9" s="72">
        <f t="shared" si="14"/>
        <v>0</v>
      </c>
      <c r="CF9" s="72">
        <f t="shared" si="15"/>
        <v>0</v>
      </c>
      <c r="CG9" s="72">
        <f t="shared" si="35"/>
        <v>0</v>
      </c>
      <c r="CH9" s="72">
        <f t="shared" si="16"/>
        <v>0</v>
      </c>
      <c r="CI9" s="35">
        <f t="shared" si="17"/>
        <v>0</v>
      </c>
      <c r="CJ9" s="57" t="str">
        <f t="shared" si="36"/>
        <v>-</v>
      </c>
      <c r="CK9" s="57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72">
        <f t="shared" si="45"/>
        <v>0</v>
      </c>
      <c r="CT9" s="76">
        <f t="shared" si="18"/>
        <v>0</v>
      </c>
      <c r="CU9" s="76">
        <f t="shared" si="19"/>
        <v>0</v>
      </c>
      <c r="CV9" s="76">
        <f t="shared" si="20"/>
        <v>0</v>
      </c>
      <c r="CW9" s="76">
        <f t="shared" si="21"/>
        <v>0</v>
      </c>
      <c r="CX9" s="76">
        <f t="shared" si="22"/>
        <v>0</v>
      </c>
      <c r="CY9" s="76">
        <f t="shared" si="23"/>
        <v>0</v>
      </c>
      <c r="CZ9" s="76">
        <f t="shared" si="24"/>
        <v>0</v>
      </c>
      <c r="DA9" s="76">
        <f t="shared" si="25"/>
        <v>0</v>
      </c>
      <c r="DB9" s="76">
        <f t="shared" si="26"/>
        <v>0</v>
      </c>
      <c r="DC9" s="76">
        <f t="shared" si="27"/>
        <v>0</v>
      </c>
      <c r="DD9" s="76">
        <f t="shared" si="28"/>
        <v>0</v>
      </c>
      <c r="DE9" s="76">
        <f t="shared" si="29"/>
        <v>0</v>
      </c>
      <c r="DF9" s="76" t="e">
        <f t="shared" si="30"/>
        <v>#DIV/0!</v>
      </c>
      <c r="DG9" s="76" t="e">
        <f t="shared" si="31"/>
        <v>#DIV/0!</v>
      </c>
      <c r="DH9" s="76" t="e">
        <f t="shared" si="32"/>
        <v>#DIV/0!</v>
      </c>
      <c r="DI9" s="77" t="e">
        <f t="shared" si="33"/>
        <v>#DIV/0!</v>
      </c>
      <c r="DJ9" s="72" t="e">
        <f t="shared" si="34"/>
        <v>#DIV/0!</v>
      </c>
      <c r="DK9" s="151">
        <f t="shared" si="46"/>
        <v>0</v>
      </c>
      <c r="DL9" s="72">
        <v>0</v>
      </c>
      <c r="DM9" s="72">
        <v>0</v>
      </c>
      <c r="DN9" s="63">
        <v>0</v>
      </c>
    </row>
    <row r="10" spans="1:118" ht="12.75">
      <c r="A10" s="49" t="s">
        <v>5</v>
      </c>
      <c r="B10" s="40"/>
      <c r="C10" s="36"/>
      <c r="D10" s="64"/>
      <c r="E10" s="64"/>
      <c r="F10" s="124">
        <v>10</v>
      </c>
      <c r="G10" s="13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1">
        <f t="shared" si="0"/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1">
        <f t="shared" si="1"/>
        <v>0</v>
      </c>
      <c r="X10" s="40">
        <v>0</v>
      </c>
      <c r="Y10" s="41">
        <f t="shared" si="2"/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1">
        <f t="shared" si="3"/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4">
        <f t="shared" si="4"/>
        <v>0</v>
      </c>
      <c r="AT10" s="36">
        <v>0</v>
      </c>
      <c r="AU10" s="4">
        <f t="shared" si="5"/>
        <v>0</v>
      </c>
      <c r="AV10" s="36">
        <v>0</v>
      </c>
      <c r="AW10" s="36">
        <v>0</v>
      </c>
      <c r="AX10" s="4">
        <f t="shared" si="6"/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1">
        <f t="shared" si="7"/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1">
        <f t="shared" si="8"/>
        <v>0</v>
      </c>
      <c r="BP10" s="40">
        <v>0</v>
      </c>
      <c r="BQ10" s="40">
        <v>0</v>
      </c>
      <c r="BR10" s="40">
        <v>0</v>
      </c>
      <c r="BS10" s="41">
        <f t="shared" si="9"/>
        <v>0</v>
      </c>
      <c r="BT10" s="36">
        <v>0</v>
      </c>
      <c r="BU10" s="36">
        <v>0</v>
      </c>
      <c r="BV10" s="36">
        <v>0</v>
      </c>
      <c r="BW10" s="36">
        <v>0</v>
      </c>
      <c r="BX10" s="4">
        <f t="shared" si="10"/>
        <v>0</v>
      </c>
      <c r="BY10" s="36">
        <v>0</v>
      </c>
      <c r="BZ10" s="36">
        <v>0</v>
      </c>
      <c r="CA10" s="36">
        <v>0</v>
      </c>
      <c r="CB10" s="4">
        <f t="shared" si="11"/>
        <v>0</v>
      </c>
      <c r="CC10" s="4">
        <f t="shared" si="12"/>
        <v>0</v>
      </c>
      <c r="CD10" s="70">
        <f t="shared" si="13"/>
        <v>0</v>
      </c>
      <c r="CE10" s="72">
        <f t="shared" si="14"/>
        <v>0</v>
      </c>
      <c r="CF10" s="72">
        <f t="shared" si="15"/>
        <v>0</v>
      </c>
      <c r="CG10" s="72">
        <f t="shared" si="35"/>
        <v>0</v>
      </c>
      <c r="CH10" s="72">
        <f t="shared" si="16"/>
        <v>0</v>
      </c>
      <c r="CI10" s="35">
        <f t="shared" si="17"/>
        <v>0</v>
      </c>
      <c r="CJ10" s="57" t="str">
        <f t="shared" si="36"/>
        <v>-</v>
      </c>
      <c r="CK10" s="57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72">
        <f t="shared" si="45"/>
        <v>0</v>
      </c>
      <c r="CT10" s="76">
        <f t="shared" si="18"/>
        <v>0</v>
      </c>
      <c r="CU10" s="76">
        <f t="shared" si="19"/>
        <v>0</v>
      </c>
      <c r="CV10" s="76">
        <f t="shared" si="20"/>
        <v>0</v>
      </c>
      <c r="CW10" s="76">
        <f t="shared" si="21"/>
        <v>0</v>
      </c>
      <c r="CX10" s="76">
        <f t="shared" si="22"/>
        <v>0</v>
      </c>
      <c r="CY10" s="76">
        <f t="shared" si="23"/>
        <v>0</v>
      </c>
      <c r="CZ10" s="76">
        <f t="shared" si="24"/>
        <v>0</v>
      </c>
      <c r="DA10" s="76">
        <f t="shared" si="25"/>
        <v>0</v>
      </c>
      <c r="DB10" s="76">
        <f t="shared" si="26"/>
        <v>0</v>
      </c>
      <c r="DC10" s="76">
        <f t="shared" si="27"/>
        <v>0</v>
      </c>
      <c r="DD10" s="76">
        <f t="shared" si="28"/>
        <v>0</v>
      </c>
      <c r="DE10" s="76">
        <f t="shared" si="29"/>
        <v>0</v>
      </c>
      <c r="DF10" s="76" t="e">
        <f t="shared" si="30"/>
        <v>#DIV/0!</v>
      </c>
      <c r="DG10" s="76" t="e">
        <f t="shared" si="31"/>
        <v>#DIV/0!</v>
      </c>
      <c r="DH10" s="76" t="e">
        <f t="shared" si="32"/>
        <v>#DIV/0!</v>
      </c>
      <c r="DI10" s="77" t="e">
        <f t="shared" si="33"/>
        <v>#DIV/0!</v>
      </c>
      <c r="DJ10" s="72" t="e">
        <f t="shared" si="34"/>
        <v>#DIV/0!</v>
      </c>
      <c r="DK10" s="151">
        <f t="shared" si="46"/>
        <v>0</v>
      </c>
      <c r="DL10" s="136">
        <v>0</v>
      </c>
      <c r="DM10" s="136">
        <v>0</v>
      </c>
      <c r="DN10" s="65">
        <v>0</v>
      </c>
    </row>
    <row r="11" spans="1:118" ht="12.75">
      <c r="A11" s="50" t="s">
        <v>6</v>
      </c>
      <c r="B11" s="41"/>
      <c r="C11" s="4"/>
      <c r="D11" s="66"/>
      <c r="E11" s="66"/>
      <c r="F11" s="8">
        <v>14</v>
      </c>
      <c r="G11" s="129" t="e">
        <f>(G42/($B$11+$B$27)*$B$11)</f>
        <v>#DIV/0!</v>
      </c>
      <c r="H11" s="129" t="e">
        <f aca="true" t="shared" si="51" ref="H11:AD11">(H42/($B$11+$B$27)*$B$11)</f>
        <v>#DIV/0!</v>
      </c>
      <c r="I11" s="129" t="e">
        <f t="shared" si="51"/>
        <v>#DIV/0!</v>
      </c>
      <c r="J11" s="129" t="e">
        <f t="shared" si="51"/>
        <v>#DIV/0!</v>
      </c>
      <c r="K11" s="129" t="e">
        <f t="shared" si="51"/>
        <v>#DIV/0!</v>
      </c>
      <c r="L11" s="129" t="e">
        <f t="shared" si="51"/>
        <v>#DIV/0!</v>
      </c>
      <c r="M11" s="41" t="e">
        <f t="shared" si="0"/>
        <v>#DIV/0!</v>
      </c>
      <c r="N11" s="129" t="e">
        <f t="shared" si="51"/>
        <v>#DIV/0!</v>
      </c>
      <c r="O11" s="129" t="e">
        <f t="shared" si="51"/>
        <v>#DIV/0!</v>
      </c>
      <c r="P11" s="129" t="e">
        <f t="shared" si="51"/>
        <v>#DIV/0!</v>
      </c>
      <c r="Q11" s="129" t="e">
        <f t="shared" si="51"/>
        <v>#DIV/0!</v>
      </c>
      <c r="R11" s="129" t="e">
        <f t="shared" si="51"/>
        <v>#DIV/0!</v>
      </c>
      <c r="S11" s="129" t="e">
        <f t="shared" si="51"/>
        <v>#DIV/0!</v>
      </c>
      <c r="T11" s="129" t="e">
        <f t="shared" si="51"/>
        <v>#DIV/0!</v>
      </c>
      <c r="U11" s="129" t="e">
        <f t="shared" si="51"/>
        <v>#DIV/0!</v>
      </c>
      <c r="V11" s="129" t="e">
        <f t="shared" si="51"/>
        <v>#DIV/0!</v>
      </c>
      <c r="W11" s="41" t="e">
        <f t="shared" si="1"/>
        <v>#DIV/0!</v>
      </c>
      <c r="X11" s="129" t="e">
        <f t="shared" si="51"/>
        <v>#DIV/0!</v>
      </c>
      <c r="Y11" s="41" t="e">
        <f t="shared" si="2"/>
        <v>#DIV/0!</v>
      </c>
      <c r="Z11" s="129" t="e">
        <f t="shared" si="51"/>
        <v>#DIV/0!</v>
      </c>
      <c r="AA11" s="129" t="e">
        <f t="shared" si="51"/>
        <v>#DIV/0!</v>
      </c>
      <c r="AB11" s="129" t="e">
        <f t="shared" si="51"/>
        <v>#DIV/0!</v>
      </c>
      <c r="AC11" s="129" t="e">
        <f t="shared" si="51"/>
        <v>#DIV/0!</v>
      </c>
      <c r="AD11" s="129" t="e">
        <f t="shared" si="51"/>
        <v>#DIV/0!</v>
      </c>
      <c r="AE11" s="41" t="e">
        <f t="shared" si="3"/>
        <v>#DIV/0!</v>
      </c>
      <c r="AF11" s="129" t="e">
        <f>(AF42/($B$11+$B$27)*$B$11)</f>
        <v>#DIV/0!</v>
      </c>
      <c r="AG11" s="129" t="e">
        <f aca="true" t="shared" si="52" ref="AG11:CA11">(AG42/($B$11+$B$27)*$B$11)</f>
        <v>#DIV/0!</v>
      </c>
      <c r="AH11" s="129" t="e">
        <f t="shared" si="52"/>
        <v>#DIV/0!</v>
      </c>
      <c r="AI11" s="129" t="e">
        <f t="shared" si="52"/>
        <v>#DIV/0!</v>
      </c>
      <c r="AJ11" s="129" t="e">
        <f t="shared" si="52"/>
        <v>#DIV/0!</v>
      </c>
      <c r="AK11" s="129" t="e">
        <f t="shared" si="52"/>
        <v>#DIV/0!</v>
      </c>
      <c r="AL11" s="129" t="e">
        <f t="shared" si="52"/>
        <v>#DIV/0!</v>
      </c>
      <c r="AM11" s="129" t="e">
        <f t="shared" si="52"/>
        <v>#DIV/0!</v>
      </c>
      <c r="AN11" s="129" t="e">
        <f t="shared" si="52"/>
        <v>#DIV/0!</v>
      </c>
      <c r="AO11" s="129" t="e">
        <f t="shared" si="52"/>
        <v>#DIV/0!</v>
      </c>
      <c r="AP11" s="129" t="e">
        <f t="shared" si="52"/>
        <v>#DIV/0!</v>
      </c>
      <c r="AQ11" s="129" t="e">
        <f t="shared" si="52"/>
        <v>#DIV/0!</v>
      </c>
      <c r="AR11" s="129" t="e">
        <f t="shared" si="52"/>
        <v>#DIV/0!</v>
      </c>
      <c r="AS11" s="4" t="e">
        <f t="shared" si="4"/>
        <v>#DIV/0!</v>
      </c>
      <c r="AT11" s="129" t="e">
        <f t="shared" si="52"/>
        <v>#DIV/0!</v>
      </c>
      <c r="AU11" s="4" t="e">
        <f t="shared" si="5"/>
        <v>#DIV/0!</v>
      </c>
      <c r="AV11" s="129" t="e">
        <f t="shared" si="52"/>
        <v>#DIV/0!</v>
      </c>
      <c r="AW11" s="129" t="e">
        <f t="shared" si="52"/>
        <v>#DIV/0!</v>
      </c>
      <c r="AX11" s="4" t="e">
        <f t="shared" si="6"/>
        <v>#DIV/0!</v>
      </c>
      <c r="AY11" s="129" t="e">
        <f t="shared" si="52"/>
        <v>#DIV/0!</v>
      </c>
      <c r="AZ11" s="129" t="e">
        <f t="shared" si="52"/>
        <v>#DIV/0!</v>
      </c>
      <c r="BA11" s="129" t="e">
        <f t="shared" si="52"/>
        <v>#DIV/0!</v>
      </c>
      <c r="BB11" s="129" t="e">
        <f t="shared" si="52"/>
        <v>#DIV/0!</v>
      </c>
      <c r="BC11" s="129" t="e">
        <f t="shared" si="52"/>
        <v>#DIV/0!</v>
      </c>
      <c r="BD11" s="129" t="e">
        <f t="shared" si="52"/>
        <v>#DIV/0!</v>
      </c>
      <c r="BE11" s="129" t="e">
        <f t="shared" si="52"/>
        <v>#DIV/0!</v>
      </c>
      <c r="BF11" s="41" t="e">
        <f t="shared" si="7"/>
        <v>#DIV/0!</v>
      </c>
      <c r="BG11" s="129" t="e">
        <f t="shared" si="52"/>
        <v>#DIV/0!</v>
      </c>
      <c r="BH11" s="129" t="e">
        <f t="shared" si="52"/>
        <v>#DIV/0!</v>
      </c>
      <c r="BI11" s="129" t="e">
        <f t="shared" si="52"/>
        <v>#DIV/0!</v>
      </c>
      <c r="BJ11" s="129" t="e">
        <f t="shared" si="52"/>
        <v>#DIV/0!</v>
      </c>
      <c r="BK11" s="129" t="e">
        <f t="shared" si="52"/>
        <v>#DIV/0!</v>
      </c>
      <c r="BL11" s="129" t="e">
        <f t="shared" si="52"/>
        <v>#DIV/0!</v>
      </c>
      <c r="BM11" s="129" t="e">
        <f t="shared" si="52"/>
        <v>#DIV/0!</v>
      </c>
      <c r="BN11" s="129" t="e">
        <f t="shared" si="52"/>
        <v>#DIV/0!</v>
      </c>
      <c r="BO11" s="41" t="e">
        <f t="shared" si="8"/>
        <v>#DIV/0!</v>
      </c>
      <c r="BP11" s="129" t="e">
        <f t="shared" si="52"/>
        <v>#DIV/0!</v>
      </c>
      <c r="BQ11" s="129" t="e">
        <f t="shared" si="52"/>
        <v>#DIV/0!</v>
      </c>
      <c r="BR11" s="129" t="e">
        <f t="shared" si="52"/>
        <v>#DIV/0!</v>
      </c>
      <c r="BS11" s="41" t="e">
        <f t="shared" si="9"/>
        <v>#DIV/0!</v>
      </c>
      <c r="BT11" s="129" t="e">
        <f t="shared" si="52"/>
        <v>#DIV/0!</v>
      </c>
      <c r="BU11" s="129" t="e">
        <f t="shared" si="52"/>
        <v>#DIV/0!</v>
      </c>
      <c r="BV11" s="129" t="e">
        <f t="shared" si="52"/>
        <v>#DIV/0!</v>
      </c>
      <c r="BW11" s="129" t="e">
        <f t="shared" si="52"/>
        <v>#DIV/0!</v>
      </c>
      <c r="BX11" s="4" t="e">
        <f t="shared" si="10"/>
        <v>#DIV/0!</v>
      </c>
      <c r="BY11" s="129" t="e">
        <f t="shared" si="52"/>
        <v>#DIV/0!</v>
      </c>
      <c r="BZ11" s="129" t="e">
        <f t="shared" si="52"/>
        <v>#DIV/0!</v>
      </c>
      <c r="CA11" s="129" t="e">
        <f t="shared" si="52"/>
        <v>#DIV/0!</v>
      </c>
      <c r="CB11" s="4" t="e">
        <f t="shared" si="11"/>
        <v>#DIV/0!</v>
      </c>
      <c r="CC11" s="4" t="e">
        <f t="shared" si="12"/>
        <v>#DIV/0!</v>
      </c>
      <c r="CD11" s="70" t="e">
        <f t="shared" si="13"/>
        <v>#DIV/0!</v>
      </c>
      <c r="CE11" s="72" t="e">
        <f t="shared" si="14"/>
        <v>#DIV/0!</v>
      </c>
      <c r="CF11" s="72" t="e">
        <f t="shared" si="15"/>
        <v>#DIV/0!</v>
      </c>
      <c r="CG11" s="72" t="e">
        <f t="shared" si="35"/>
        <v>#DIV/0!</v>
      </c>
      <c r="CH11" s="72" t="e">
        <f t="shared" si="16"/>
        <v>#DIV/0!</v>
      </c>
      <c r="CI11" s="35" t="e">
        <f t="shared" si="17"/>
        <v>#DIV/0!</v>
      </c>
      <c r="CJ11" s="57" t="e">
        <f t="shared" si="36"/>
        <v>#DIV/0!</v>
      </c>
      <c r="CK11" s="57" t="e">
        <f t="shared" si="37"/>
        <v>#DIV/0!</v>
      </c>
      <c r="CL11" s="148" t="e">
        <f t="shared" si="38"/>
        <v>#DIV/0!</v>
      </c>
      <c r="CM11" s="148" t="e">
        <f t="shared" si="39"/>
        <v>#DIV/0!</v>
      </c>
      <c r="CN11" s="148" t="e">
        <f t="shared" si="40"/>
        <v>#DIV/0!</v>
      </c>
      <c r="CO11" s="148" t="e">
        <f t="shared" si="41"/>
        <v>#DIV/0!</v>
      </c>
      <c r="CP11" s="148" t="e">
        <f t="shared" si="42"/>
        <v>#DIV/0!</v>
      </c>
      <c r="CQ11" s="148" t="e">
        <f t="shared" si="43"/>
        <v>#DIV/0!</v>
      </c>
      <c r="CR11" s="149" t="e">
        <f t="shared" si="44"/>
        <v>#DIV/0!</v>
      </c>
      <c r="CS11" s="72" t="e">
        <f t="shared" si="45"/>
        <v>#DIV/0!</v>
      </c>
      <c r="CT11" s="76" t="e">
        <f t="shared" si="18"/>
        <v>#DIV/0!</v>
      </c>
      <c r="CU11" s="76" t="e">
        <f t="shared" si="19"/>
        <v>#DIV/0!</v>
      </c>
      <c r="CV11" s="76" t="e">
        <f t="shared" si="20"/>
        <v>#DIV/0!</v>
      </c>
      <c r="CW11" s="76" t="e">
        <f t="shared" si="21"/>
        <v>#DIV/0!</v>
      </c>
      <c r="CX11" s="76" t="e">
        <f t="shared" si="22"/>
        <v>#DIV/0!</v>
      </c>
      <c r="CY11" s="76" t="e">
        <f t="shared" si="23"/>
        <v>#DIV/0!</v>
      </c>
      <c r="CZ11" s="76" t="e">
        <f t="shared" si="24"/>
        <v>#DIV/0!</v>
      </c>
      <c r="DA11" s="76" t="e">
        <f t="shared" si="25"/>
        <v>#DIV/0!</v>
      </c>
      <c r="DB11" s="76" t="e">
        <f t="shared" si="26"/>
        <v>#DIV/0!</v>
      </c>
      <c r="DC11" s="76" t="e">
        <f t="shared" si="27"/>
        <v>#DIV/0!</v>
      </c>
      <c r="DD11" s="76" t="e">
        <f t="shared" si="28"/>
        <v>#DIV/0!</v>
      </c>
      <c r="DE11" s="76" t="e">
        <f t="shared" si="29"/>
        <v>#DIV/0!</v>
      </c>
      <c r="DF11" s="76" t="e">
        <f t="shared" si="30"/>
        <v>#DIV/0!</v>
      </c>
      <c r="DG11" s="76" t="e">
        <f t="shared" si="31"/>
        <v>#DIV/0!</v>
      </c>
      <c r="DH11" s="76" t="e">
        <f t="shared" si="32"/>
        <v>#DIV/0!</v>
      </c>
      <c r="DI11" s="77" t="e">
        <f t="shared" si="33"/>
        <v>#DIV/0!</v>
      </c>
      <c r="DJ11" s="72" t="e">
        <f t="shared" si="34"/>
        <v>#DIV/0!</v>
      </c>
      <c r="DK11" s="151" t="e">
        <f t="shared" si="46"/>
        <v>#DIV/0!</v>
      </c>
      <c r="DL11" s="72">
        <v>0</v>
      </c>
      <c r="DM11" s="72">
        <v>0</v>
      </c>
      <c r="DN11" s="63">
        <v>0</v>
      </c>
    </row>
    <row r="12" spans="1:118" ht="12.75">
      <c r="A12" s="49" t="s">
        <v>7</v>
      </c>
      <c r="B12" s="40"/>
      <c r="C12" s="36"/>
      <c r="D12" s="64"/>
      <c r="E12" s="64"/>
      <c r="F12" s="124">
        <v>11</v>
      </c>
      <c r="G12" s="130" t="e">
        <f>(G43/($B$12+$B$14+$B$23)*$B$12)</f>
        <v>#DIV/0!</v>
      </c>
      <c r="H12" s="130" t="e">
        <f aca="true" t="shared" si="53" ref="H12:BU12">(H43/($B$12+$B$14+$B$23)*$B$12)</f>
        <v>#DIV/0!</v>
      </c>
      <c r="I12" s="130" t="e">
        <f t="shared" si="53"/>
        <v>#DIV/0!</v>
      </c>
      <c r="J12" s="130" t="e">
        <f t="shared" si="53"/>
        <v>#DIV/0!</v>
      </c>
      <c r="K12" s="130" t="e">
        <f t="shared" si="53"/>
        <v>#DIV/0!</v>
      </c>
      <c r="L12" s="130" t="e">
        <f t="shared" si="53"/>
        <v>#DIV/0!</v>
      </c>
      <c r="M12" s="41" t="e">
        <f t="shared" si="0"/>
        <v>#DIV/0!</v>
      </c>
      <c r="N12" s="130" t="e">
        <f t="shared" si="53"/>
        <v>#DIV/0!</v>
      </c>
      <c r="O12" s="130" t="e">
        <f t="shared" si="53"/>
        <v>#DIV/0!</v>
      </c>
      <c r="P12" s="130" t="e">
        <f t="shared" si="53"/>
        <v>#DIV/0!</v>
      </c>
      <c r="Q12" s="130" t="e">
        <f t="shared" si="53"/>
        <v>#DIV/0!</v>
      </c>
      <c r="R12" s="130" t="e">
        <f t="shared" si="53"/>
        <v>#DIV/0!</v>
      </c>
      <c r="S12" s="130" t="e">
        <f t="shared" si="53"/>
        <v>#DIV/0!</v>
      </c>
      <c r="T12" s="130" t="e">
        <f t="shared" si="53"/>
        <v>#DIV/0!</v>
      </c>
      <c r="U12" s="130" t="e">
        <f t="shared" si="53"/>
        <v>#DIV/0!</v>
      </c>
      <c r="V12" s="130" t="e">
        <f t="shared" si="53"/>
        <v>#DIV/0!</v>
      </c>
      <c r="W12" s="41" t="e">
        <f t="shared" si="1"/>
        <v>#DIV/0!</v>
      </c>
      <c r="X12" s="130" t="e">
        <f t="shared" si="53"/>
        <v>#DIV/0!</v>
      </c>
      <c r="Y12" s="41" t="e">
        <f t="shared" si="2"/>
        <v>#DIV/0!</v>
      </c>
      <c r="Z12" s="130" t="e">
        <f t="shared" si="53"/>
        <v>#DIV/0!</v>
      </c>
      <c r="AA12" s="130" t="e">
        <f t="shared" si="53"/>
        <v>#DIV/0!</v>
      </c>
      <c r="AB12" s="130" t="e">
        <f t="shared" si="53"/>
        <v>#DIV/0!</v>
      </c>
      <c r="AC12" s="130" t="e">
        <f t="shared" si="53"/>
        <v>#DIV/0!</v>
      </c>
      <c r="AD12" s="130" t="e">
        <f t="shared" si="53"/>
        <v>#DIV/0!</v>
      </c>
      <c r="AE12" s="41" t="e">
        <f t="shared" si="3"/>
        <v>#DIV/0!</v>
      </c>
      <c r="AF12" s="130" t="e">
        <f t="shared" si="53"/>
        <v>#DIV/0!</v>
      </c>
      <c r="AG12" s="130" t="e">
        <f t="shared" si="53"/>
        <v>#DIV/0!</v>
      </c>
      <c r="AH12" s="130" t="e">
        <f t="shared" si="53"/>
        <v>#DIV/0!</v>
      </c>
      <c r="AI12" s="130" t="e">
        <f t="shared" si="53"/>
        <v>#DIV/0!</v>
      </c>
      <c r="AJ12" s="130" t="e">
        <f t="shared" si="53"/>
        <v>#DIV/0!</v>
      </c>
      <c r="AK12" s="130" t="e">
        <f t="shared" si="53"/>
        <v>#DIV/0!</v>
      </c>
      <c r="AL12" s="130" t="e">
        <f t="shared" si="53"/>
        <v>#DIV/0!</v>
      </c>
      <c r="AM12" s="130" t="e">
        <f t="shared" si="53"/>
        <v>#DIV/0!</v>
      </c>
      <c r="AN12" s="130" t="e">
        <f t="shared" si="53"/>
        <v>#DIV/0!</v>
      </c>
      <c r="AO12" s="130" t="e">
        <f t="shared" si="53"/>
        <v>#DIV/0!</v>
      </c>
      <c r="AP12" s="130" t="e">
        <f t="shared" si="53"/>
        <v>#DIV/0!</v>
      </c>
      <c r="AQ12" s="130" t="e">
        <f t="shared" si="53"/>
        <v>#DIV/0!</v>
      </c>
      <c r="AR12" s="130" t="e">
        <f t="shared" si="53"/>
        <v>#DIV/0!</v>
      </c>
      <c r="AS12" s="4" t="e">
        <f t="shared" si="4"/>
        <v>#DIV/0!</v>
      </c>
      <c r="AT12" s="130" t="e">
        <f t="shared" si="53"/>
        <v>#DIV/0!</v>
      </c>
      <c r="AU12" s="4" t="e">
        <f>SUM(Z12:AT12)-AE12-AH12-AS12</f>
        <v>#DIV/0!</v>
      </c>
      <c r="AV12" s="130" t="e">
        <f t="shared" si="53"/>
        <v>#DIV/0!</v>
      </c>
      <c r="AW12" s="130" t="e">
        <f t="shared" si="53"/>
        <v>#DIV/0!</v>
      </c>
      <c r="AX12" s="4" t="e">
        <f t="shared" si="6"/>
        <v>#DIV/0!</v>
      </c>
      <c r="AY12" s="130" t="e">
        <f t="shared" si="53"/>
        <v>#DIV/0!</v>
      </c>
      <c r="AZ12" s="130" t="e">
        <f t="shared" si="53"/>
        <v>#DIV/0!</v>
      </c>
      <c r="BA12" s="130" t="e">
        <f t="shared" si="53"/>
        <v>#DIV/0!</v>
      </c>
      <c r="BB12" s="130" t="e">
        <f t="shared" si="53"/>
        <v>#DIV/0!</v>
      </c>
      <c r="BC12" s="130" t="e">
        <f t="shared" si="53"/>
        <v>#DIV/0!</v>
      </c>
      <c r="BD12" s="130" t="e">
        <f t="shared" si="53"/>
        <v>#DIV/0!</v>
      </c>
      <c r="BE12" s="130" t="e">
        <f t="shared" si="53"/>
        <v>#DIV/0!</v>
      </c>
      <c r="BF12" s="41" t="e">
        <f t="shared" si="7"/>
        <v>#DIV/0!</v>
      </c>
      <c r="BG12" s="130" t="e">
        <f t="shared" si="53"/>
        <v>#DIV/0!</v>
      </c>
      <c r="BH12" s="130" t="e">
        <f t="shared" si="53"/>
        <v>#DIV/0!</v>
      </c>
      <c r="BI12" s="130" t="e">
        <f t="shared" si="53"/>
        <v>#DIV/0!</v>
      </c>
      <c r="BJ12" s="130" t="e">
        <f t="shared" si="53"/>
        <v>#DIV/0!</v>
      </c>
      <c r="BK12" s="130" t="e">
        <f t="shared" si="53"/>
        <v>#DIV/0!</v>
      </c>
      <c r="BL12" s="130" t="e">
        <f t="shared" si="53"/>
        <v>#DIV/0!</v>
      </c>
      <c r="BM12" s="130" t="e">
        <f t="shared" si="53"/>
        <v>#DIV/0!</v>
      </c>
      <c r="BN12" s="130" t="e">
        <f t="shared" si="53"/>
        <v>#DIV/0!</v>
      </c>
      <c r="BO12" s="41" t="e">
        <f t="shared" si="8"/>
        <v>#DIV/0!</v>
      </c>
      <c r="BP12" s="130" t="e">
        <f t="shared" si="53"/>
        <v>#DIV/0!</v>
      </c>
      <c r="BQ12" s="130" t="e">
        <f t="shared" si="53"/>
        <v>#DIV/0!</v>
      </c>
      <c r="BR12" s="130" t="e">
        <f t="shared" si="53"/>
        <v>#DIV/0!</v>
      </c>
      <c r="BS12" s="41" t="e">
        <f t="shared" si="9"/>
        <v>#DIV/0!</v>
      </c>
      <c r="BT12" s="130" t="e">
        <f t="shared" si="53"/>
        <v>#DIV/0!</v>
      </c>
      <c r="BU12" s="130" t="e">
        <f t="shared" si="53"/>
        <v>#DIV/0!</v>
      </c>
      <c r="BV12" s="130" t="e">
        <f aca="true" t="shared" si="54" ref="BV12:CA12">(BV43/($B$12+$B$14+$B$23)*$B$12)</f>
        <v>#DIV/0!</v>
      </c>
      <c r="BW12" s="130" t="e">
        <f t="shared" si="54"/>
        <v>#DIV/0!</v>
      </c>
      <c r="BX12" s="4" t="e">
        <f t="shared" si="10"/>
        <v>#DIV/0!</v>
      </c>
      <c r="BY12" s="130" t="e">
        <f t="shared" si="54"/>
        <v>#DIV/0!</v>
      </c>
      <c r="BZ12" s="130" t="e">
        <f t="shared" si="54"/>
        <v>#DIV/0!</v>
      </c>
      <c r="CA12" s="130" t="e">
        <f t="shared" si="54"/>
        <v>#DIV/0!</v>
      </c>
      <c r="CB12" s="4" t="e">
        <f t="shared" si="11"/>
        <v>#DIV/0!</v>
      </c>
      <c r="CC12" s="4" t="e">
        <f t="shared" si="12"/>
        <v>#DIV/0!</v>
      </c>
      <c r="CD12" s="70" t="e">
        <f t="shared" si="13"/>
        <v>#DIV/0!</v>
      </c>
      <c r="CE12" s="72" t="e">
        <f t="shared" si="14"/>
        <v>#DIV/0!</v>
      </c>
      <c r="CF12" s="72" t="e">
        <f t="shared" si="15"/>
        <v>#DIV/0!</v>
      </c>
      <c r="CG12" s="72" t="e">
        <f t="shared" si="35"/>
        <v>#DIV/0!</v>
      </c>
      <c r="CH12" s="72" t="e">
        <f>I12-AG12+AY12+AH12+BQ12</f>
        <v>#DIV/0!</v>
      </c>
      <c r="CI12" s="35" t="e">
        <f t="shared" si="17"/>
        <v>#DIV/0!</v>
      </c>
      <c r="CJ12" s="57" t="e">
        <f t="shared" si="36"/>
        <v>#DIV/0!</v>
      </c>
      <c r="CK12" s="57" t="e">
        <f t="shared" si="37"/>
        <v>#DIV/0!</v>
      </c>
      <c r="CL12" s="148" t="e">
        <f t="shared" si="38"/>
        <v>#DIV/0!</v>
      </c>
      <c r="CM12" s="148" t="e">
        <f t="shared" si="39"/>
        <v>#DIV/0!</v>
      </c>
      <c r="CN12" s="148" t="e">
        <f t="shared" si="40"/>
        <v>#DIV/0!</v>
      </c>
      <c r="CO12" s="148" t="e">
        <f t="shared" si="41"/>
        <v>#DIV/0!</v>
      </c>
      <c r="CP12" s="148" t="e">
        <f t="shared" si="42"/>
        <v>#DIV/0!</v>
      </c>
      <c r="CQ12" s="148" t="e">
        <f t="shared" si="43"/>
        <v>#DIV/0!</v>
      </c>
      <c r="CR12" s="149" t="e">
        <f t="shared" si="44"/>
        <v>#DIV/0!</v>
      </c>
      <c r="CS12" s="72" t="e">
        <f t="shared" si="45"/>
        <v>#DIV/0!</v>
      </c>
      <c r="CT12" s="76" t="e">
        <f t="shared" si="18"/>
        <v>#DIV/0!</v>
      </c>
      <c r="CU12" s="76" t="e">
        <f t="shared" si="19"/>
        <v>#DIV/0!</v>
      </c>
      <c r="CV12" s="76" t="e">
        <f t="shared" si="20"/>
        <v>#DIV/0!</v>
      </c>
      <c r="CW12" s="76" t="e">
        <f t="shared" si="21"/>
        <v>#DIV/0!</v>
      </c>
      <c r="CX12" s="76" t="e">
        <f t="shared" si="22"/>
        <v>#DIV/0!</v>
      </c>
      <c r="CY12" s="76" t="e">
        <f t="shared" si="23"/>
        <v>#DIV/0!</v>
      </c>
      <c r="CZ12" s="76" t="e">
        <f t="shared" si="24"/>
        <v>#DIV/0!</v>
      </c>
      <c r="DA12" s="76" t="e">
        <f t="shared" si="25"/>
        <v>#DIV/0!</v>
      </c>
      <c r="DB12" s="76" t="e">
        <f t="shared" si="26"/>
        <v>#DIV/0!</v>
      </c>
      <c r="DC12" s="76" t="e">
        <f t="shared" si="27"/>
        <v>#DIV/0!</v>
      </c>
      <c r="DD12" s="76" t="e">
        <f t="shared" si="28"/>
        <v>#DIV/0!</v>
      </c>
      <c r="DE12" s="76" t="e">
        <f t="shared" si="29"/>
        <v>#DIV/0!</v>
      </c>
      <c r="DF12" s="76" t="e">
        <f t="shared" si="30"/>
        <v>#DIV/0!</v>
      </c>
      <c r="DG12" s="76" t="e">
        <f t="shared" si="31"/>
        <v>#DIV/0!</v>
      </c>
      <c r="DH12" s="76" t="e">
        <f t="shared" si="32"/>
        <v>#DIV/0!</v>
      </c>
      <c r="DI12" s="77" t="e">
        <f t="shared" si="33"/>
        <v>#DIV/0!</v>
      </c>
      <c r="DJ12" s="72" t="e">
        <f t="shared" si="34"/>
        <v>#DIV/0!</v>
      </c>
      <c r="DK12" s="151" t="e">
        <f t="shared" si="46"/>
        <v>#DIV/0!</v>
      </c>
      <c r="DL12" s="136">
        <v>0</v>
      </c>
      <c r="DM12" s="136">
        <v>0</v>
      </c>
      <c r="DN12" s="65">
        <v>0</v>
      </c>
    </row>
    <row r="13" spans="1:118" ht="12.75">
      <c r="A13" s="50" t="s">
        <v>8</v>
      </c>
      <c r="B13" s="41"/>
      <c r="C13" s="4"/>
      <c r="D13" s="66"/>
      <c r="E13" s="66"/>
      <c r="F13" s="8"/>
      <c r="G13" s="129" t="e">
        <f>(G44/($B$13+$B$16)*$B$13)</f>
        <v>#DIV/0!</v>
      </c>
      <c r="H13" s="129" t="e">
        <f aca="true" t="shared" si="55" ref="H13:BU13">(H44/($B$13+$B$16)*$B$13)</f>
        <v>#DIV/0!</v>
      </c>
      <c r="I13" s="129" t="e">
        <f t="shared" si="55"/>
        <v>#DIV/0!</v>
      </c>
      <c r="J13" s="129" t="e">
        <f t="shared" si="55"/>
        <v>#DIV/0!</v>
      </c>
      <c r="K13" s="129" t="e">
        <f t="shared" si="55"/>
        <v>#DIV/0!</v>
      </c>
      <c r="L13" s="129" t="e">
        <f t="shared" si="55"/>
        <v>#DIV/0!</v>
      </c>
      <c r="M13" s="41" t="e">
        <f t="shared" si="0"/>
        <v>#DIV/0!</v>
      </c>
      <c r="N13" s="129" t="e">
        <f t="shared" si="55"/>
        <v>#DIV/0!</v>
      </c>
      <c r="O13" s="129" t="e">
        <f t="shared" si="55"/>
        <v>#DIV/0!</v>
      </c>
      <c r="P13" s="129" t="e">
        <f t="shared" si="55"/>
        <v>#DIV/0!</v>
      </c>
      <c r="Q13" s="129" t="e">
        <f t="shared" si="55"/>
        <v>#DIV/0!</v>
      </c>
      <c r="R13" s="129" t="e">
        <f t="shared" si="55"/>
        <v>#DIV/0!</v>
      </c>
      <c r="S13" s="129" t="e">
        <f t="shared" si="55"/>
        <v>#DIV/0!</v>
      </c>
      <c r="T13" s="129" t="e">
        <f t="shared" si="55"/>
        <v>#DIV/0!</v>
      </c>
      <c r="U13" s="129" t="e">
        <f t="shared" si="55"/>
        <v>#DIV/0!</v>
      </c>
      <c r="V13" s="129" t="e">
        <f t="shared" si="55"/>
        <v>#DIV/0!</v>
      </c>
      <c r="W13" s="41" t="e">
        <f t="shared" si="1"/>
        <v>#DIV/0!</v>
      </c>
      <c r="X13" s="129" t="e">
        <f t="shared" si="55"/>
        <v>#DIV/0!</v>
      </c>
      <c r="Y13" s="41" t="e">
        <f t="shared" si="2"/>
        <v>#DIV/0!</v>
      </c>
      <c r="Z13" s="129" t="e">
        <f t="shared" si="55"/>
        <v>#DIV/0!</v>
      </c>
      <c r="AA13" s="129" t="e">
        <f t="shared" si="55"/>
        <v>#DIV/0!</v>
      </c>
      <c r="AB13" s="129" t="e">
        <f t="shared" si="55"/>
        <v>#DIV/0!</v>
      </c>
      <c r="AC13" s="129" t="e">
        <f t="shared" si="55"/>
        <v>#DIV/0!</v>
      </c>
      <c r="AD13" s="129" t="e">
        <f t="shared" si="55"/>
        <v>#DIV/0!</v>
      </c>
      <c r="AE13" s="41" t="e">
        <f t="shared" si="3"/>
        <v>#DIV/0!</v>
      </c>
      <c r="AF13" s="129" t="e">
        <f t="shared" si="55"/>
        <v>#DIV/0!</v>
      </c>
      <c r="AG13" s="129" t="e">
        <f t="shared" si="55"/>
        <v>#DIV/0!</v>
      </c>
      <c r="AH13" s="129" t="e">
        <f t="shared" si="55"/>
        <v>#DIV/0!</v>
      </c>
      <c r="AI13" s="129" t="e">
        <f t="shared" si="55"/>
        <v>#DIV/0!</v>
      </c>
      <c r="AJ13" s="129" t="e">
        <f t="shared" si="55"/>
        <v>#DIV/0!</v>
      </c>
      <c r="AK13" s="129" t="e">
        <f t="shared" si="55"/>
        <v>#DIV/0!</v>
      </c>
      <c r="AL13" s="129" t="e">
        <f t="shared" si="55"/>
        <v>#DIV/0!</v>
      </c>
      <c r="AM13" s="129" t="e">
        <f t="shared" si="55"/>
        <v>#DIV/0!</v>
      </c>
      <c r="AN13" s="129" t="e">
        <f t="shared" si="55"/>
        <v>#DIV/0!</v>
      </c>
      <c r="AO13" s="129" t="e">
        <f t="shared" si="55"/>
        <v>#DIV/0!</v>
      </c>
      <c r="AP13" s="129" t="e">
        <f t="shared" si="55"/>
        <v>#DIV/0!</v>
      </c>
      <c r="AQ13" s="129" t="e">
        <f t="shared" si="55"/>
        <v>#DIV/0!</v>
      </c>
      <c r="AR13" s="129" t="e">
        <f t="shared" si="55"/>
        <v>#DIV/0!</v>
      </c>
      <c r="AS13" s="4" t="e">
        <f t="shared" si="4"/>
        <v>#DIV/0!</v>
      </c>
      <c r="AT13" s="129" t="e">
        <f t="shared" si="55"/>
        <v>#DIV/0!</v>
      </c>
      <c r="AU13" s="4" t="e">
        <f>SUM(Z13:AT13)-AE13-AH13-AS13</f>
        <v>#DIV/0!</v>
      </c>
      <c r="AV13" s="129" t="e">
        <f t="shared" si="55"/>
        <v>#DIV/0!</v>
      </c>
      <c r="AW13" s="129" t="e">
        <f t="shared" si="55"/>
        <v>#DIV/0!</v>
      </c>
      <c r="AX13" s="4" t="e">
        <f t="shared" si="6"/>
        <v>#DIV/0!</v>
      </c>
      <c r="AY13" s="129" t="e">
        <f t="shared" si="55"/>
        <v>#DIV/0!</v>
      </c>
      <c r="AZ13" s="129" t="e">
        <f t="shared" si="55"/>
        <v>#DIV/0!</v>
      </c>
      <c r="BA13" s="129" t="e">
        <f t="shared" si="55"/>
        <v>#DIV/0!</v>
      </c>
      <c r="BB13" s="129" t="e">
        <f t="shared" si="55"/>
        <v>#DIV/0!</v>
      </c>
      <c r="BC13" s="129" t="e">
        <f t="shared" si="55"/>
        <v>#DIV/0!</v>
      </c>
      <c r="BD13" s="129" t="e">
        <f t="shared" si="55"/>
        <v>#DIV/0!</v>
      </c>
      <c r="BE13" s="129" t="e">
        <f t="shared" si="55"/>
        <v>#DIV/0!</v>
      </c>
      <c r="BF13" s="41" t="e">
        <f t="shared" si="7"/>
        <v>#DIV/0!</v>
      </c>
      <c r="BG13" s="129" t="e">
        <f t="shared" si="55"/>
        <v>#DIV/0!</v>
      </c>
      <c r="BH13" s="129" t="e">
        <f t="shared" si="55"/>
        <v>#DIV/0!</v>
      </c>
      <c r="BI13" s="129" t="e">
        <f t="shared" si="55"/>
        <v>#DIV/0!</v>
      </c>
      <c r="BJ13" s="129" t="e">
        <f t="shared" si="55"/>
        <v>#DIV/0!</v>
      </c>
      <c r="BK13" s="129" t="e">
        <f t="shared" si="55"/>
        <v>#DIV/0!</v>
      </c>
      <c r="BL13" s="129" t="e">
        <f t="shared" si="55"/>
        <v>#DIV/0!</v>
      </c>
      <c r="BM13" s="129" t="e">
        <f t="shared" si="55"/>
        <v>#DIV/0!</v>
      </c>
      <c r="BN13" s="129" t="e">
        <f t="shared" si="55"/>
        <v>#DIV/0!</v>
      </c>
      <c r="BO13" s="41" t="e">
        <f t="shared" si="8"/>
        <v>#DIV/0!</v>
      </c>
      <c r="BP13" s="129" t="e">
        <f t="shared" si="55"/>
        <v>#DIV/0!</v>
      </c>
      <c r="BQ13" s="129" t="e">
        <f t="shared" si="55"/>
        <v>#DIV/0!</v>
      </c>
      <c r="BR13" s="129" t="e">
        <f t="shared" si="55"/>
        <v>#DIV/0!</v>
      </c>
      <c r="BS13" s="41" t="e">
        <f t="shared" si="9"/>
        <v>#DIV/0!</v>
      </c>
      <c r="BT13" s="129" t="e">
        <f t="shared" si="55"/>
        <v>#DIV/0!</v>
      </c>
      <c r="BU13" s="129" t="e">
        <f t="shared" si="55"/>
        <v>#DIV/0!</v>
      </c>
      <c r="BV13" s="129" t="e">
        <f aca="true" t="shared" si="56" ref="BV13:CA13">(BV44/($B$13+$B$16)*$B$13)</f>
        <v>#DIV/0!</v>
      </c>
      <c r="BW13" s="129" t="e">
        <f t="shared" si="56"/>
        <v>#DIV/0!</v>
      </c>
      <c r="BX13" s="4" t="e">
        <f t="shared" si="10"/>
        <v>#DIV/0!</v>
      </c>
      <c r="BY13" s="129" t="e">
        <f t="shared" si="56"/>
        <v>#DIV/0!</v>
      </c>
      <c r="BZ13" s="129" t="e">
        <f t="shared" si="56"/>
        <v>#DIV/0!</v>
      </c>
      <c r="CA13" s="129" t="e">
        <f t="shared" si="56"/>
        <v>#DIV/0!</v>
      </c>
      <c r="CB13" s="4" t="e">
        <f t="shared" si="11"/>
        <v>#DIV/0!</v>
      </c>
      <c r="CC13" s="4" t="e">
        <f t="shared" si="12"/>
        <v>#DIV/0!</v>
      </c>
      <c r="CD13" s="70" t="e">
        <f t="shared" si="13"/>
        <v>#DIV/0!</v>
      </c>
      <c r="CE13" s="72" t="e">
        <f t="shared" si="14"/>
        <v>#DIV/0!</v>
      </c>
      <c r="CF13" s="72" t="e">
        <f t="shared" si="15"/>
        <v>#DIV/0!</v>
      </c>
      <c r="CG13" s="72" t="e">
        <f t="shared" si="35"/>
        <v>#DIV/0!</v>
      </c>
      <c r="CH13" s="72" t="e">
        <f>I13-AG13+AY13+AH13+BQ13</f>
        <v>#DIV/0!</v>
      </c>
      <c r="CI13" s="35" t="e">
        <f t="shared" si="17"/>
        <v>#DIV/0!</v>
      </c>
      <c r="CJ13" s="57" t="e">
        <f t="shared" si="36"/>
        <v>#DIV/0!</v>
      </c>
      <c r="CK13" s="57" t="e">
        <f t="shared" si="37"/>
        <v>#DIV/0!</v>
      </c>
      <c r="CL13" s="148" t="e">
        <f t="shared" si="38"/>
        <v>#DIV/0!</v>
      </c>
      <c r="CM13" s="148" t="e">
        <f t="shared" si="39"/>
        <v>#DIV/0!</v>
      </c>
      <c r="CN13" s="148" t="e">
        <f t="shared" si="40"/>
        <v>#DIV/0!</v>
      </c>
      <c r="CO13" s="148" t="e">
        <f t="shared" si="41"/>
        <v>#DIV/0!</v>
      </c>
      <c r="CP13" s="148" t="e">
        <f t="shared" si="42"/>
        <v>#DIV/0!</v>
      </c>
      <c r="CQ13" s="148" t="e">
        <f t="shared" si="43"/>
        <v>#DIV/0!</v>
      </c>
      <c r="CR13" s="149" t="e">
        <f t="shared" si="44"/>
        <v>#DIV/0!</v>
      </c>
      <c r="CS13" s="72" t="e">
        <f t="shared" si="45"/>
        <v>#DIV/0!</v>
      </c>
      <c r="CT13" s="76" t="e">
        <f t="shared" si="18"/>
        <v>#DIV/0!</v>
      </c>
      <c r="CU13" s="76" t="e">
        <f t="shared" si="19"/>
        <v>#DIV/0!</v>
      </c>
      <c r="CV13" s="76" t="e">
        <f t="shared" si="20"/>
        <v>#DIV/0!</v>
      </c>
      <c r="CW13" s="76" t="e">
        <f t="shared" si="21"/>
        <v>#DIV/0!</v>
      </c>
      <c r="CX13" s="76" t="e">
        <f t="shared" si="22"/>
        <v>#DIV/0!</v>
      </c>
      <c r="CY13" s="76" t="e">
        <f t="shared" si="23"/>
        <v>#DIV/0!</v>
      </c>
      <c r="CZ13" s="76" t="e">
        <f t="shared" si="24"/>
        <v>#DIV/0!</v>
      </c>
      <c r="DA13" s="76" t="e">
        <f t="shared" si="25"/>
        <v>#DIV/0!</v>
      </c>
      <c r="DB13" s="76" t="e">
        <f t="shared" si="26"/>
        <v>#DIV/0!</v>
      </c>
      <c r="DC13" s="76" t="e">
        <f t="shared" si="27"/>
        <v>#DIV/0!</v>
      </c>
      <c r="DD13" s="76" t="e">
        <f t="shared" si="28"/>
        <v>#DIV/0!</v>
      </c>
      <c r="DE13" s="76" t="e">
        <f t="shared" si="29"/>
        <v>#DIV/0!</v>
      </c>
      <c r="DF13" s="76" t="e">
        <f t="shared" si="30"/>
        <v>#DIV/0!</v>
      </c>
      <c r="DG13" s="76" t="e">
        <f t="shared" si="31"/>
        <v>#DIV/0!</v>
      </c>
      <c r="DH13" s="76" t="e">
        <f t="shared" si="32"/>
        <v>#DIV/0!</v>
      </c>
      <c r="DI13" s="77" t="e">
        <f t="shared" si="33"/>
        <v>#DIV/0!</v>
      </c>
      <c r="DJ13" s="72" t="e">
        <f t="shared" si="34"/>
        <v>#DIV/0!</v>
      </c>
      <c r="DK13" s="151" t="e">
        <f t="shared" si="46"/>
        <v>#DIV/0!</v>
      </c>
      <c r="DL13" s="72">
        <v>0</v>
      </c>
      <c r="DM13" s="72">
        <v>0</v>
      </c>
      <c r="DN13" s="63">
        <v>0</v>
      </c>
    </row>
    <row r="14" spans="1:118" ht="12.75">
      <c r="A14" s="49" t="s">
        <v>33</v>
      </c>
      <c r="B14" s="40"/>
      <c r="C14" s="36"/>
      <c r="D14" s="64"/>
      <c r="E14" s="64"/>
      <c r="F14" s="124">
        <v>11</v>
      </c>
      <c r="G14" s="130" t="e">
        <f>(G43/($B$12+$B$14+$B$23)*$B$14)</f>
        <v>#DIV/0!</v>
      </c>
      <c r="H14" s="130" t="e">
        <f aca="true" t="shared" si="57" ref="H14:BU14">(H43/($B$12+$B$14+$B$23)*$B$14)</f>
        <v>#DIV/0!</v>
      </c>
      <c r="I14" s="130" t="e">
        <f t="shared" si="57"/>
        <v>#DIV/0!</v>
      </c>
      <c r="J14" s="130" t="e">
        <f t="shared" si="57"/>
        <v>#DIV/0!</v>
      </c>
      <c r="K14" s="130" t="e">
        <f t="shared" si="57"/>
        <v>#DIV/0!</v>
      </c>
      <c r="L14" s="130" t="e">
        <f t="shared" si="57"/>
        <v>#DIV/0!</v>
      </c>
      <c r="M14" s="41" t="e">
        <f t="shared" si="0"/>
        <v>#DIV/0!</v>
      </c>
      <c r="N14" s="130" t="e">
        <f t="shared" si="57"/>
        <v>#DIV/0!</v>
      </c>
      <c r="O14" s="130" t="e">
        <f t="shared" si="57"/>
        <v>#DIV/0!</v>
      </c>
      <c r="P14" s="130" t="e">
        <f t="shared" si="57"/>
        <v>#DIV/0!</v>
      </c>
      <c r="Q14" s="130" t="e">
        <f t="shared" si="57"/>
        <v>#DIV/0!</v>
      </c>
      <c r="R14" s="130" t="e">
        <f t="shared" si="57"/>
        <v>#DIV/0!</v>
      </c>
      <c r="S14" s="130" t="e">
        <f t="shared" si="57"/>
        <v>#DIV/0!</v>
      </c>
      <c r="T14" s="130" t="e">
        <f t="shared" si="57"/>
        <v>#DIV/0!</v>
      </c>
      <c r="U14" s="130" t="e">
        <f t="shared" si="57"/>
        <v>#DIV/0!</v>
      </c>
      <c r="V14" s="130" t="e">
        <f t="shared" si="57"/>
        <v>#DIV/0!</v>
      </c>
      <c r="W14" s="41" t="e">
        <f t="shared" si="1"/>
        <v>#DIV/0!</v>
      </c>
      <c r="X14" s="130" t="e">
        <f t="shared" si="57"/>
        <v>#DIV/0!</v>
      </c>
      <c r="Y14" s="41" t="e">
        <f t="shared" si="2"/>
        <v>#DIV/0!</v>
      </c>
      <c r="Z14" s="130" t="e">
        <f t="shared" si="57"/>
        <v>#DIV/0!</v>
      </c>
      <c r="AA14" s="130" t="e">
        <f t="shared" si="57"/>
        <v>#DIV/0!</v>
      </c>
      <c r="AB14" s="130" t="e">
        <f t="shared" si="57"/>
        <v>#DIV/0!</v>
      </c>
      <c r="AC14" s="130" t="e">
        <f t="shared" si="57"/>
        <v>#DIV/0!</v>
      </c>
      <c r="AD14" s="130" t="e">
        <f t="shared" si="57"/>
        <v>#DIV/0!</v>
      </c>
      <c r="AE14" s="41" t="e">
        <f t="shared" si="3"/>
        <v>#DIV/0!</v>
      </c>
      <c r="AF14" s="130" t="e">
        <f t="shared" si="57"/>
        <v>#DIV/0!</v>
      </c>
      <c r="AG14" s="130" t="e">
        <f t="shared" si="57"/>
        <v>#DIV/0!</v>
      </c>
      <c r="AH14" s="130" t="e">
        <f t="shared" si="57"/>
        <v>#DIV/0!</v>
      </c>
      <c r="AI14" s="130" t="e">
        <f t="shared" si="57"/>
        <v>#DIV/0!</v>
      </c>
      <c r="AJ14" s="130" t="e">
        <f t="shared" si="57"/>
        <v>#DIV/0!</v>
      </c>
      <c r="AK14" s="130" t="e">
        <f t="shared" si="57"/>
        <v>#DIV/0!</v>
      </c>
      <c r="AL14" s="130" t="e">
        <f t="shared" si="57"/>
        <v>#DIV/0!</v>
      </c>
      <c r="AM14" s="130" t="e">
        <f t="shared" si="57"/>
        <v>#DIV/0!</v>
      </c>
      <c r="AN14" s="130" t="e">
        <f t="shared" si="57"/>
        <v>#DIV/0!</v>
      </c>
      <c r="AO14" s="130" t="e">
        <f t="shared" si="57"/>
        <v>#DIV/0!</v>
      </c>
      <c r="AP14" s="130" t="e">
        <f t="shared" si="57"/>
        <v>#DIV/0!</v>
      </c>
      <c r="AQ14" s="130" t="e">
        <f t="shared" si="57"/>
        <v>#DIV/0!</v>
      </c>
      <c r="AR14" s="130" t="e">
        <f t="shared" si="57"/>
        <v>#DIV/0!</v>
      </c>
      <c r="AS14" s="4" t="e">
        <f t="shared" si="4"/>
        <v>#DIV/0!</v>
      </c>
      <c r="AT14" s="130" t="e">
        <f t="shared" si="57"/>
        <v>#DIV/0!</v>
      </c>
      <c r="AU14" s="4" t="e">
        <f t="shared" si="5"/>
        <v>#DIV/0!</v>
      </c>
      <c r="AV14" s="130" t="e">
        <f t="shared" si="57"/>
        <v>#DIV/0!</v>
      </c>
      <c r="AW14" s="130" t="e">
        <f t="shared" si="57"/>
        <v>#DIV/0!</v>
      </c>
      <c r="AX14" s="4" t="e">
        <f t="shared" si="6"/>
        <v>#DIV/0!</v>
      </c>
      <c r="AY14" s="130" t="e">
        <f t="shared" si="57"/>
        <v>#DIV/0!</v>
      </c>
      <c r="AZ14" s="130" t="e">
        <f t="shared" si="57"/>
        <v>#DIV/0!</v>
      </c>
      <c r="BA14" s="130" t="e">
        <f t="shared" si="57"/>
        <v>#DIV/0!</v>
      </c>
      <c r="BB14" s="130" t="e">
        <f t="shared" si="57"/>
        <v>#DIV/0!</v>
      </c>
      <c r="BC14" s="130" t="e">
        <f t="shared" si="57"/>
        <v>#DIV/0!</v>
      </c>
      <c r="BD14" s="130" t="e">
        <f t="shared" si="57"/>
        <v>#DIV/0!</v>
      </c>
      <c r="BE14" s="130" t="e">
        <f t="shared" si="57"/>
        <v>#DIV/0!</v>
      </c>
      <c r="BF14" s="41" t="e">
        <f t="shared" si="7"/>
        <v>#DIV/0!</v>
      </c>
      <c r="BG14" s="130" t="e">
        <f t="shared" si="57"/>
        <v>#DIV/0!</v>
      </c>
      <c r="BH14" s="130" t="e">
        <f t="shared" si="57"/>
        <v>#DIV/0!</v>
      </c>
      <c r="BI14" s="130" t="e">
        <f t="shared" si="57"/>
        <v>#DIV/0!</v>
      </c>
      <c r="BJ14" s="130" t="e">
        <f t="shared" si="57"/>
        <v>#DIV/0!</v>
      </c>
      <c r="BK14" s="130" t="e">
        <f t="shared" si="57"/>
        <v>#DIV/0!</v>
      </c>
      <c r="BL14" s="130" t="e">
        <f t="shared" si="57"/>
        <v>#DIV/0!</v>
      </c>
      <c r="BM14" s="130" t="e">
        <f t="shared" si="57"/>
        <v>#DIV/0!</v>
      </c>
      <c r="BN14" s="130" t="e">
        <f t="shared" si="57"/>
        <v>#DIV/0!</v>
      </c>
      <c r="BO14" s="41" t="e">
        <f t="shared" si="8"/>
        <v>#DIV/0!</v>
      </c>
      <c r="BP14" s="130" t="e">
        <f t="shared" si="57"/>
        <v>#DIV/0!</v>
      </c>
      <c r="BQ14" s="130" t="e">
        <f t="shared" si="57"/>
        <v>#DIV/0!</v>
      </c>
      <c r="BR14" s="130" t="e">
        <f t="shared" si="57"/>
        <v>#DIV/0!</v>
      </c>
      <c r="BS14" s="41" t="e">
        <f t="shared" si="9"/>
        <v>#DIV/0!</v>
      </c>
      <c r="BT14" s="130" t="e">
        <f t="shared" si="57"/>
        <v>#DIV/0!</v>
      </c>
      <c r="BU14" s="130" t="e">
        <f t="shared" si="57"/>
        <v>#DIV/0!</v>
      </c>
      <c r="BV14" s="130" t="e">
        <f aca="true" t="shared" si="58" ref="BV14:CA14">(BV43/($B$12+$B$14+$B$23)*$B$14)</f>
        <v>#DIV/0!</v>
      </c>
      <c r="BW14" s="130" t="e">
        <f t="shared" si="58"/>
        <v>#DIV/0!</v>
      </c>
      <c r="BX14" s="4" t="e">
        <f t="shared" si="10"/>
        <v>#DIV/0!</v>
      </c>
      <c r="BY14" s="130" t="e">
        <f t="shared" si="58"/>
        <v>#DIV/0!</v>
      </c>
      <c r="BZ14" s="130" t="e">
        <f t="shared" si="58"/>
        <v>#DIV/0!</v>
      </c>
      <c r="CA14" s="130" t="e">
        <f t="shared" si="58"/>
        <v>#DIV/0!</v>
      </c>
      <c r="CB14" s="4" t="e">
        <f t="shared" si="11"/>
        <v>#DIV/0!</v>
      </c>
      <c r="CC14" s="4" t="e">
        <f t="shared" si="12"/>
        <v>#DIV/0!</v>
      </c>
      <c r="CD14" s="70" t="e">
        <f t="shared" si="13"/>
        <v>#DIV/0!</v>
      </c>
      <c r="CE14" s="72" t="e">
        <f t="shared" si="14"/>
        <v>#DIV/0!</v>
      </c>
      <c r="CF14" s="72" t="e">
        <f t="shared" si="15"/>
        <v>#DIV/0!</v>
      </c>
      <c r="CG14" s="72" t="e">
        <f t="shared" si="35"/>
        <v>#DIV/0!</v>
      </c>
      <c r="CH14" s="72" t="e">
        <f t="shared" si="16"/>
        <v>#DIV/0!</v>
      </c>
      <c r="CI14" s="35" t="e">
        <f t="shared" si="17"/>
        <v>#DIV/0!</v>
      </c>
      <c r="CJ14" s="57" t="e">
        <f t="shared" si="36"/>
        <v>#DIV/0!</v>
      </c>
      <c r="CK14" s="57" t="e">
        <f t="shared" si="37"/>
        <v>#DIV/0!</v>
      </c>
      <c r="CL14" s="148" t="e">
        <f t="shared" si="38"/>
        <v>#DIV/0!</v>
      </c>
      <c r="CM14" s="148" t="e">
        <f t="shared" si="39"/>
        <v>#DIV/0!</v>
      </c>
      <c r="CN14" s="148" t="e">
        <f t="shared" si="40"/>
        <v>#DIV/0!</v>
      </c>
      <c r="CO14" s="148" t="e">
        <f t="shared" si="41"/>
        <v>#DIV/0!</v>
      </c>
      <c r="CP14" s="148" t="e">
        <f t="shared" si="42"/>
        <v>#DIV/0!</v>
      </c>
      <c r="CQ14" s="148" t="e">
        <f t="shared" si="43"/>
        <v>#DIV/0!</v>
      </c>
      <c r="CR14" s="149" t="e">
        <f t="shared" si="44"/>
        <v>#DIV/0!</v>
      </c>
      <c r="CS14" s="72" t="e">
        <f t="shared" si="45"/>
        <v>#DIV/0!</v>
      </c>
      <c r="CT14" s="76" t="e">
        <f t="shared" si="18"/>
        <v>#DIV/0!</v>
      </c>
      <c r="CU14" s="76" t="e">
        <f t="shared" si="19"/>
        <v>#DIV/0!</v>
      </c>
      <c r="CV14" s="76" t="e">
        <f t="shared" si="20"/>
        <v>#DIV/0!</v>
      </c>
      <c r="CW14" s="76" t="e">
        <f t="shared" si="21"/>
        <v>#DIV/0!</v>
      </c>
      <c r="CX14" s="76" t="e">
        <f t="shared" si="22"/>
        <v>#DIV/0!</v>
      </c>
      <c r="CY14" s="76" t="e">
        <f t="shared" si="23"/>
        <v>#DIV/0!</v>
      </c>
      <c r="CZ14" s="76" t="e">
        <f t="shared" si="24"/>
        <v>#DIV/0!</v>
      </c>
      <c r="DA14" s="76" t="e">
        <f t="shared" si="25"/>
        <v>#DIV/0!</v>
      </c>
      <c r="DB14" s="76" t="e">
        <f t="shared" si="26"/>
        <v>#DIV/0!</v>
      </c>
      <c r="DC14" s="76" t="e">
        <f t="shared" si="27"/>
        <v>#DIV/0!</v>
      </c>
      <c r="DD14" s="76" t="e">
        <f t="shared" si="28"/>
        <v>#DIV/0!</v>
      </c>
      <c r="DE14" s="76" t="e">
        <f t="shared" si="29"/>
        <v>#DIV/0!</v>
      </c>
      <c r="DF14" s="76" t="e">
        <f t="shared" si="30"/>
        <v>#DIV/0!</v>
      </c>
      <c r="DG14" s="76" t="e">
        <f t="shared" si="31"/>
        <v>#DIV/0!</v>
      </c>
      <c r="DH14" s="76" t="e">
        <f t="shared" si="32"/>
        <v>#DIV/0!</v>
      </c>
      <c r="DI14" s="77" t="e">
        <f t="shared" si="33"/>
        <v>#DIV/0!</v>
      </c>
      <c r="DJ14" s="72" t="e">
        <f t="shared" si="34"/>
        <v>#DIV/0!</v>
      </c>
      <c r="DK14" s="151" t="e">
        <f t="shared" si="46"/>
        <v>#DIV/0!</v>
      </c>
      <c r="DL14" s="136">
        <v>0</v>
      </c>
      <c r="DM14" s="136">
        <v>0</v>
      </c>
      <c r="DN14" s="65">
        <v>0</v>
      </c>
    </row>
    <row r="15" spans="1:118" ht="12.75">
      <c r="A15" s="50" t="s">
        <v>9</v>
      </c>
      <c r="B15" s="41"/>
      <c r="C15" s="4"/>
      <c r="D15" s="66"/>
      <c r="E15" s="66"/>
      <c r="F15" s="8">
        <v>10</v>
      </c>
      <c r="G15" s="129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f>SUM(R15:V15)</f>
        <v>0</v>
      </c>
      <c r="X15" s="41">
        <v>0</v>
      </c>
      <c r="Y15" s="41">
        <f>SUM(G15:X15)-M15-W15</f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f>SUM(Z15:AD15)</f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f>SUM(AN15:AR15)</f>
        <v>0</v>
      </c>
      <c r="AT15" s="4">
        <v>0</v>
      </c>
      <c r="AU15" s="4">
        <f>SUM(Z15:AT15)-AE15-AH15-AS15</f>
        <v>0</v>
      </c>
      <c r="AV15" s="4">
        <v>0</v>
      </c>
      <c r="AW15" s="4">
        <v>0</v>
      </c>
      <c r="AX15" s="4">
        <f>Y15-AU15+AV15-AW15</f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f>SUM(AZ15:BE15)</f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f>SUM(BG15:BN15)</f>
        <v>0</v>
      </c>
      <c r="BP15" s="41">
        <v>0</v>
      </c>
      <c r="BQ15" s="41">
        <v>0</v>
      </c>
      <c r="BR15" s="41">
        <v>0</v>
      </c>
      <c r="BS15" s="41">
        <f>+BF15-BO15+BP15+BQ15-BR15</f>
        <v>0</v>
      </c>
      <c r="BT15" s="4">
        <v>0</v>
      </c>
      <c r="BU15" s="4">
        <v>0</v>
      </c>
      <c r="BV15" s="4">
        <v>0</v>
      </c>
      <c r="BW15" s="4">
        <v>0</v>
      </c>
      <c r="BX15" s="4">
        <f>SUM(BT15:BW15)</f>
        <v>0</v>
      </c>
      <c r="BY15" s="4">
        <v>0</v>
      </c>
      <c r="BZ15" s="4">
        <v>0</v>
      </c>
      <c r="CA15" s="4">
        <v>0</v>
      </c>
      <c r="CB15" s="4">
        <f>SUM(BY15:CA15)</f>
        <v>0</v>
      </c>
      <c r="CC15" s="4">
        <f>BX15-CB15</f>
        <v>0</v>
      </c>
      <c r="CD15" s="70">
        <f>K15+L15+AV15-AW15</f>
        <v>0</v>
      </c>
      <c r="CE15" s="72">
        <f>CD15+W15-AS15</f>
        <v>0</v>
      </c>
      <c r="CF15" s="72">
        <f>BR15-BP15</f>
        <v>0</v>
      </c>
      <c r="CG15" s="72">
        <f t="shared" si="35"/>
        <v>0</v>
      </c>
      <c r="CH15" s="72">
        <f>I15-AG15+AY15+AH15+BQ15</f>
        <v>0</v>
      </c>
      <c r="CI15" s="35">
        <f>CH15+K15</f>
        <v>0</v>
      </c>
      <c r="CJ15" s="57" t="str">
        <f t="shared" si="36"/>
        <v>-</v>
      </c>
      <c r="CK15" s="57" t="str">
        <f t="shared" si="37"/>
        <v>-</v>
      </c>
      <c r="CL15" s="148" t="str">
        <f t="shared" si="38"/>
        <v>-</v>
      </c>
      <c r="CM15" s="148" t="str">
        <f t="shared" si="39"/>
        <v>-</v>
      </c>
      <c r="CN15" s="148" t="str">
        <f t="shared" si="40"/>
        <v>-</v>
      </c>
      <c r="CO15" s="148" t="str">
        <f t="shared" si="41"/>
        <v>-</v>
      </c>
      <c r="CP15" s="148" t="str">
        <f t="shared" si="42"/>
        <v>-</v>
      </c>
      <c r="CQ15" s="148" t="str">
        <f t="shared" si="43"/>
        <v>-</v>
      </c>
      <c r="CR15" s="149" t="str">
        <f t="shared" si="44"/>
        <v>-</v>
      </c>
      <c r="CS15" s="72">
        <f t="shared" si="45"/>
        <v>0</v>
      </c>
      <c r="CT15" s="76">
        <f>Y15-K15-L15-V15</f>
        <v>0</v>
      </c>
      <c r="CU15" s="76">
        <f>AU15-AR15</f>
        <v>0</v>
      </c>
      <c r="CV15" s="76">
        <f>CU15-CT15</f>
        <v>0</v>
      </c>
      <c r="CW15" s="76">
        <f>-V15+AR15</f>
        <v>0</v>
      </c>
      <c r="CX15" s="76">
        <f>CV15+CW15</f>
        <v>0</v>
      </c>
      <c r="CY15" s="76">
        <f>CX15-K15-L15</f>
        <v>0</v>
      </c>
      <c r="CZ15" s="76">
        <f>BR15-BP15</f>
        <v>0</v>
      </c>
      <c r="DA15" s="76">
        <f>K15+L15</f>
        <v>0</v>
      </c>
      <c r="DB15" s="76">
        <f>-CZ15+DA15+CY15</f>
        <v>0</v>
      </c>
      <c r="DC15" s="76">
        <f>-BP15-DA15</f>
        <v>0</v>
      </c>
      <c r="DD15" s="76">
        <f>DB15+DC15+BR15</f>
        <v>0</v>
      </c>
      <c r="DE15" s="76">
        <f>Z15+AA15+AB15</f>
        <v>0</v>
      </c>
      <c r="DF15" s="76" t="e">
        <f>CS15/B15</f>
        <v>#DIV/0!</v>
      </c>
      <c r="DG15" s="76" t="e">
        <f>CH15/B15</f>
        <v>#DIV/0!</v>
      </c>
      <c r="DH15" s="76" t="e">
        <f>DE15/B15</f>
        <v>#DIV/0!</v>
      </c>
      <c r="DI15" s="77" t="e">
        <f>CZ15/B15</f>
        <v>#DIV/0!</v>
      </c>
      <c r="DJ15" s="72" t="e">
        <f>DB15/B15</f>
        <v>#DIV/0!</v>
      </c>
      <c r="DK15" s="151">
        <f t="shared" si="46"/>
        <v>0</v>
      </c>
      <c r="DL15" s="72">
        <v>0</v>
      </c>
      <c r="DM15" s="72">
        <v>0</v>
      </c>
      <c r="DN15" s="63">
        <v>0</v>
      </c>
    </row>
    <row r="16" spans="1:118" ht="12.75">
      <c r="A16" s="49" t="s">
        <v>34</v>
      </c>
      <c r="B16" s="40"/>
      <c r="C16" s="36"/>
      <c r="D16" s="64"/>
      <c r="E16" s="64"/>
      <c r="F16" s="124">
        <v>10</v>
      </c>
      <c r="G16" s="130" t="e">
        <f>(G44/($B$13+$B$16)*$B$16)</f>
        <v>#DIV/0!</v>
      </c>
      <c r="H16" s="130" t="e">
        <f aca="true" t="shared" si="59" ref="H16:BU16">(H44/($B$13+$B$16)*$B$16)</f>
        <v>#DIV/0!</v>
      </c>
      <c r="I16" s="130" t="e">
        <f t="shared" si="59"/>
        <v>#DIV/0!</v>
      </c>
      <c r="J16" s="130" t="e">
        <f t="shared" si="59"/>
        <v>#DIV/0!</v>
      </c>
      <c r="K16" s="130" t="e">
        <f t="shared" si="59"/>
        <v>#DIV/0!</v>
      </c>
      <c r="L16" s="130" t="e">
        <f t="shared" si="59"/>
        <v>#DIV/0!</v>
      </c>
      <c r="M16" s="41" t="e">
        <f t="shared" si="0"/>
        <v>#DIV/0!</v>
      </c>
      <c r="N16" s="130" t="e">
        <f t="shared" si="59"/>
        <v>#DIV/0!</v>
      </c>
      <c r="O16" s="130" t="e">
        <f t="shared" si="59"/>
        <v>#DIV/0!</v>
      </c>
      <c r="P16" s="130" t="e">
        <f t="shared" si="59"/>
        <v>#DIV/0!</v>
      </c>
      <c r="Q16" s="130" t="e">
        <f t="shared" si="59"/>
        <v>#DIV/0!</v>
      </c>
      <c r="R16" s="130" t="e">
        <f t="shared" si="59"/>
        <v>#DIV/0!</v>
      </c>
      <c r="S16" s="130" t="e">
        <f t="shared" si="59"/>
        <v>#DIV/0!</v>
      </c>
      <c r="T16" s="130" t="e">
        <f t="shared" si="59"/>
        <v>#DIV/0!</v>
      </c>
      <c r="U16" s="130" t="e">
        <f t="shared" si="59"/>
        <v>#DIV/0!</v>
      </c>
      <c r="V16" s="130" t="e">
        <f t="shared" si="59"/>
        <v>#DIV/0!</v>
      </c>
      <c r="W16" s="41" t="e">
        <f>SUM(R16:V16)</f>
        <v>#DIV/0!</v>
      </c>
      <c r="X16" s="130" t="e">
        <f t="shared" si="59"/>
        <v>#DIV/0!</v>
      </c>
      <c r="Y16" s="41" t="e">
        <f>SUM(G16:X16)-M16-W16</f>
        <v>#DIV/0!</v>
      </c>
      <c r="Z16" s="130" t="e">
        <f t="shared" si="59"/>
        <v>#DIV/0!</v>
      </c>
      <c r="AA16" s="130" t="e">
        <f t="shared" si="59"/>
        <v>#DIV/0!</v>
      </c>
      <c r="AB16" s="130" t="e">
        <f t="shared" si="59"/>
        <v>#DIV/0!</v>
      </c>
      <c r="AC16" s="130" t="e">
        <f t="shared" si="59"/>
        <v>#DIV/0!</v>
      </c>
      <c r="AD16" s="130" t="e">
        <f t="shared" si="59"/>
        <v>#DIV/0!</v>
      </c>
      <c r="AE16" s="41" t="e">
        <f>SUM(Z16:AD16)</f>
        <v>#DIV/0!</v>
      </c>
      <c r="AF16" s="130" t="e">
        <f t="shared" si="59"/>
        <v>#DIV/0!</v>
      </c>
      <c r="AG16" s="130" t="e">
        <f t="shared" si="59"/>
        <v>#DIV/0!</v>
      </c>
      <c r="AH16" s="130" t="e">
        <f t="shared" si="59"/>
        <v>#DIV/0!</v>
      </c>
      <c r="AI16" s="130" t="e">
        <f t="shared" si="59"/>
        <v>#DIV/0!</v>
      </c>
      <c r="AJ16" s="130" t="e">
        <f t="shared" si="59"/>
        <v>#DIV/0!</v>
      </c>
      <c r="AK16" s="130" t="e">
        <f t="shared" si="59"/>
        <v>#DIV/0!</v>
      </c>
      <c r="AL16" s="130" t="e">
        <f t="shared" si="59"/>
        <v>#DIV/0!</v>
      </c>
      <c r="AM16" s="130" t="e">
        <f t="shared" si="59"/>
        <v>#DIV/0!</v>
      </c>
      <c r="AN16" s="130" t="e">
        <f t="shared" si="59"/>
        <v>#DIV/0!</v>
      </c>
      <c r="AO16" s="130" t="e">
        <f t="shared" si="59"/>
        <v>#DIV/0!</v>
      </c>
      <c r="AP16" s="130" t="e">
        <f t="shared" si="59"/>
        <v>#DIV/0!</v>
      </c>
      <c r="AQ16" s="130" t="e">
        <f t="shared" si="59"/>
        <v>#DIV/0!</v>
      </c>
      <c r="AR16" s="130" t="e">
        <f t="shared" si="59"/>
        <v>#DIV/0!</v>
      </c>
      <c r="AS16" s="4" t="e">
        <f>SUM(AN16:AR16)</f>
        <v>#DIV/0!</v>
      </c>
      <c r="AT16" s="130" t="e">
        <f t="shared" si="59"/>
        <v>#DIV/0!</v>
      </c>
      <c r="AU16" s="4" t="e">
        <f>SUM(Z16:AT16)-AE16-AH16-AS16</f>
        <v>#DIV/0!</v>
      </c>
      <c r="AV16" s="130" t="e">
        <f t="shared" si="59"/>
        <v>#DIV/0!</v>
      </c>
      <c r="AW16" s="130" t="e">
        <f t="shared" si="59"/>
        <v>#DIV/0!</v>
      </c>
      <c r="AX16" s="4" t="e">
        <f>Y16-AU16+AV16-AW16</f>
        <v>#DIV/0!</v>
      </c>
      <c r="AY16" s="130" t="e">
        <f t="shared" si="59"/>
        <v>#DIV/0!</v>
      </c>
      <c r="AZ16" s="130" t="e">
        <f t="shared" si="59"/>
        <v>#DIV/0!</v>
      </c>
      <c r="BA16" s="130" t="e">
        <f t="shared" si="59"/>
        <v>#DIV/0!</v>
      </c>
      <c r="BB16" s="130" t="e">
        <f t="shared" si="59"/>
        <v>#DIV/0!</v>
      </c>
      <c r="BC16" s="130" t="e">
        <f t="shared" si="59"/>
        <v>#DIV/0!</v>
      </c>
      <c r="BD16" s="130" t="e">
        <f t="shared" si="59"/>
        <v>#DIV/0!</v>
      </c>
      <c r="BE16" s="130" t="e">
        <f t="shared" si="59"/>
        <v>#DIV/0!</v>
      </c>
      <c r="BF16" s="41" t="e">
        <f>SUM(AZ16:BE16)</f>
        <v>#DIV/0!</v>
      </c>
      <c r="BG16" s="130" t="e">
        <f t="shared" si="59"/>
        <v>#DIV/0!</v>
      </c>
      <c r="BH16" s="130" t="e">
        <f t="shared" si="59"/>
        <v>#DIV/0!</v>
      </c>
      <c r="BI16" s="130" t="e">
        <f t="shared" si="59"/>
        <v>#DIV/0!</v>
      </c>
      <c r="BJ16" s="130" t="e">
        <f t="shared" si="59"/>
        <v>#DIV/0!</v>
      </c>
      <c r="BK16" s="130" t="e">
        <f t="shared" si="59"/>
        <v>#DIV/0!</v>
      </c>
      <c r="BL16" s="130" t="e">
        <f t="shared" si="59"/>
        <v>#DIV/0!</v>
      </c>
      <c r="BM16" s="130" t="e">
        <f t="shared" si="59"/>
        <v>#DIV/0!</v>
      </c>
      <c r="BN16" s="130" t="e">
        <f t="shared" si="59"/>
        <v>#DIV/0!</v>
      </c>
      <c r="BO16" s="41" t="e">
        <f>SUM(BG16:BN16)</f>
        <v>#DIV/0!</v>
      </c>
      <c r="BP16" s="130" t="e">
        <f t="shared" si="59"/>
        <v>#DIV/0!</v>
      </c>
      <c r="BQ16" s="130" t="e">
        <f t="shared" si="59"/>
        <v>#DIV/0!</v>
      </c>
      <c r="BR16" s="130" t="e">
        <f t="shared" si="59"/>
        <v>#DIV/0!</v>
      </c>
      <c r="BS16" s="41" t="e">
        <f>+BF16-BO16+BP16+BQ16-BR16</f>
        <v>#DIV/0!</v>
      </c>
      <c r="BT16" s="130" t="e">
        <f t="shared" si="59"/>
        <v>#DIV/0!</v>
      </c>
      <c r="BU16" s="130" t="e">
        <f t="shared" si="59"/>
        <v>#DIV/0!</v>
      </c>
      <c r="BV16" s="130" t="e">
        <f aca="true" t="shared" si="60" ref="BV16:CA16">(BV44/($B$13+$B$16)*$B$16)</f>
        <v>#DIV/0!</v>
      </c>
      <c r="BW16" s="130" t="e">
        <f t="shared" si="60"/>
        <v>#DIV/0!</v>
      </c>
      <c r="BX16" s="4" t="e">
        <f>SUM(BT16:BW16)</f>
        <v>#DIV/0!</v>
      </c>
      <c r="BY16" s="130" t="e">
        <f t="shared" si="60"/>
        <v>#DIV/0!</v>
      </c>
      <c r="BZ16" s="130" t="e">
        <f t="shared" si="60"/>
        <v>#DIV/0!</v>
      </c>
      <c r="CA16" s="130" t="e">
        <f t="shared" si="60"/>
        <v>#DIV/0!</v>
      </c>
      <c r="CB16" s="4" t="e">
        <f>SUM(BY16:CA16)</f>
        <v>#DIV/0!</v>
      </c>
      <c r="CC16" s="4" t="e">
        <f>BX16-CB16</f>
        <v>#DIV/0!</v>
      </c>
      <c r="CD16" s="70" t="e">
        <f>K16+L16+AV16-AW16</f>
        <v>#DIV/0!</v>
      </c>
      <c r="CE16" s="72" t="e">
        <f>CD16+W16-AS16</f>
        <v>#DIV/0!</v>
      </c>
      <c r="CF16" s="72" t="e">
        <f>BR16-BP16</f>
        <v>#DIV/0!</v>
      </c>
      <c r="CG16" s="72" t="e">
        <f t="shared" si="35"/>
        <v>#DIV/0!</v>
      </c>
      <c r="CH16" s="72" t="e">
        <f>I16-AG16+AY16+AH16+BQ16</f>
        <v>#DIV/0!</v>
      </c>
      <c r="CI16" s="35" t="e">
        <f>CH16+K16</f>
        <v>#DIV/0!</v>
      </c>
      <c r="CJ16" s="57" t="e">
        <f t="shared" si="36"/>
        <v>#DIV/0!</v>
      </c>
      <c r="CK16" s="57" t="e">
        <f t="shared" si="37"/>
        <v>#DIV/0!</v>
      </c>
      <c r="CL16" s="148" t="e">
        <f t="shared" si="38"/>
        <v>#DIV/0!</v>
      </c>
      <c r="CM16" s="148" t="e">
        <f t="shared" si="39"/>
        <v>#DIV/0!</v>
      </c>
      <c r="CN16" s="148" t="e">
        <f t="shared" si="40"/>
        <v>#DIV/0!</v>
      </c>
      <c r="CO16" s="148" t="e">
        <f t="shared" si="41"/>
        <v>#DIV/0!</v>
      </c>
      <c r="CP16" s="148" t="e">
        <f t="shared" si="42"/>
        <v>#DIV/0!</v>
      </c>
      <c r="CQ16" s="148" t="e">
        <f t="shared" si="43"/>
        <v>#DIV/0!</v>
      </c>
      <c r="CR16" s="149" t="e">
        <f t="shared" si="44"/>
        <v>#DIV/0!</v>
      </c>
      <c r="CS16" s="72" t="e">
        <f t="shared" si="45"/>
        <v>#DIV/0!</v>
      </c>
      <c r="CT16" s="76" t="e">
        <f>Y16-K16-L16-V16</f>
        <v>#DIV/0!</v>
      </c>
      <c r="CU16" s="76" t="e">
        <f>AU16-AR16</f>
        <v>#DIV/0!</v>
      </c>
      <c r="CV16" s="76" t="e">
        <f>CU16-CT16</f>
        <v>#DIV/0!</v>
      </c>
      <c r="CW16" s="76" t="e">
        <f>-V16+AR16</f>
        <v>#DIV/0!</v>
      </c>
      <c r="CX16" s="76" t="e">
        <f>CV16+CW16</f>
        <v>#DIV/0!</v>
      </c>
      <c r="CY16" s="76" t="e">
        <f>CX16-K16-L16</f>
        <v>#DIV/0!</v>
      </c>
      <c r="CZ16" s="76" t="e">
        <f>BR16-BP16</f>
        <v>#DIV/0!</v>
      </c>
      <c r="DA16" s="76" t="e">
        <f>K16+L16</f>
        <v>#DIV/0!</v>
      </c>
      <c r="DB16" s="76" t="e">
        <f>-CZ16+DA16+CY16</f>
        <v>#DIV/0!</v>
      </c>
      <c r="DC16" s="76" t="e">
        <f>-BP16-DA16</f>
        <v>#DIV/0!</v>
      </c>
      <c r="DD16" s="76" t="e">
        <f>DB16+DC16+BR16</f>
        <v>#DIV/0!</v>
      </c>
      <c r="DE16" s="76" t="e">
        <f>Z16+AA16+AB16</f>
        <v>#DIV/0!</v>
      </c>
      <c r="DF16" s="76" t="e">
        <f>CS16/B16</f>
        <v>#DIV/0!</v>
      </c>
      <c r="DG16" s="76" t="e">
        <f>CH16/B16</f>
        <v>#DIV/0!</v>
      </c>
      <c r="DH16" s="76" t="e">
        <f>DE16/B16</f>
        <v>#DIV/0!</v>
      </c>
      <c r="DI16" s="77" t="e">
        <f>CZ16/B16</f>
        <v>#DIV/0!</v>
      </c>
      <c r="DJ16" s="72" t="e">
        <f>DB16/B16</f>
        <v>#DIV/0!</v>
      </c>
      <c r="DK16" s="151" t="e">
        <f t="shared" si="46"/>
        <v>#DIV/0!</v>
      </c>
      <c r="DL16" s="136">
        <v>0</v>
      </c>
      <c r="DM16" s="136">
        <v>0</v>
      </c>
      <c r="DN16" s="65">
        <v>0</v>
      </c>
    </row>
    <row r="17" spans="1:118" ht="12.75">
      <c r="A17" s="50" t="s">
        <v>10</v>
      </c>
      <c r="B17" s="41"/>
      <c r="C17" s="4"/>
      <c r="D17" s="66"/>
      <c r="E17" s="66"/>
      <c r="F17" s="8">
        <v>10</v>
      </c>
      <c r="G17" s="142" t="e">
        <f>(G49/($B$49)*$B$17)+(G50/($B$50)*$B$17)+(G47)</f>
        <v>#DIV/0!</v>
      </c>
      <c r="H17" s="142" t="e">
        <f aca="true" t="shared" si="61" ref="H17:BU17">(H49/($B$49)*$B$17)+(H50/($B$50)*$B$17)+(H47)</f>
        <v>#DIV/0!</v>
      </c>
      <c r="I17" s="142" t="e">
        <f t="shared" si="61"/>
        <v>#DIV/0!</v>
      </c>
      <c r="J17" s="142" t="e">
        <f t="shared" si="61"/>
        <v>#DIV/0!</v>
      </c>
      <c r="K17" s="142" t="e">
        <f t="shared" si="61"/>
        <v>#DIV/0!</v>
      </c>
      <c r="L17" s="142" t="e">
        <f t="shared" si="61"/>
        <v>#DIV/0!</v>
      </c>
      <c r="M17" s="41" t="e">
        <f t="shared" si="0"/>
        <v>#DIV/0!</v>
      </c>
      <c r="N17" s="142" t="e">
        <f t="shared" si="61"/>
        <v>#DIV/0!</v>
      </c>
      <c r="O17" s="142" t="e">
        <f t="shared" si="61"/>
        <v>#DIV/0!</v>
      </c>
      <c r="P17" s="142" t="e">
        <f t="shared" si="61"/>
        <v>#DIV/0!</v>
      </c>
      <c r="Q17" s="142" t="e">
        <f t="shared" si="61"/>
        <v>#DIV/0!</v>
      </c>
      <c r="R17" s="142" t="e">
        <f t="shared" si="61"/>
        <v>#DIV/0!</v>
      </c>
      <c r="S17" s="142" t="e">
        <f t="shared" si="61"/>
        <v>#DIV/0!</v>
      </c>
      <c r="T17" s="142" t="e">
        <f t="shared" si="61"/>
        <v>#DIV/0!</v>
      </c>
      <c r="U17" s="142" t="e">
        <f t="shared" si="61"/>
        <v>#DIV/0!</v>
      </c>
      <c r="V17" s="142" t="e">
        <f t="shared" si="61"/>
        <v>#DIV/0!</v>
      </c>
      <c r="W17" s="41" t="e">
        <f>SUM(R17:V17)</f>
        <v>#DIV/0!</v>
      </c>
      <c r="X17" s="142" t="e">
        <f t="shared" si="61"/>
        <v>#DIV/0!</v>
      </c>
      <c r="Y17" s="41" t="e">
        <f>SUM(G17:X17)-M17-W17</f>
        <v>#DIV/0!</v>
      </c>
      <c r="Z17" s="142" t="e">
        <f t="shared" si="61"/>
        <v>#DIV/0!</v>
      </c>
      <c r="AA17" s="142" t="e">
        <f t="shared" si="61"/>
        <v>#DIV/0!</v>
      </c>
      <c r="AB17" s="142" t="e">
        <f t="shared" si="61"/>
        <v>#DIV/0!</v>
      </c>
      <c r="AC17" s="142" t="e">
        <f t="shared" si="61"/>
        <v>#DIV/0!</v>
      </c>
      <c r="AD17" s="142" t="e">
        <f t="shared" si="61"/>
        <v>#DIV/0!</v>
      </c>
      <c r="AE17" s="41" t="e">
        <f>SUM(Z17:AD17)</f>
        <v>#DIV/0!</v>
      </c>
      <c r="AF17" s="142" t="e">
        <f t="shared" si="61"/>
        <v>#DIV/0!</v>
      </c>
      <c r="AG17" s="142" t="e">
        <f t="shared" si="61"/>
        <v>#DIV/0!</v>
      </c>
      <c r="AH17" s="142" t="e">
        <f t="shared" si="61"/>
        <v>#DIV/0!</v>
      </c>
      <c r="AI17" s="142" t="e">
        <f t="shared" si="61"/>
        <v>#DIV/0!</v>
      </c>
      <c r="AJ17" s="142" t="e">
        <f t="shared" si="61"/>
        <v>#DIV/0!</v>
      </c>
      <c r="AK17" s="142" t="e">
        <f t="shared" si="61"/>
        <v>#DIV/0!</v>
      </c>
      <c r="AL17" s="142" t="e">
        <f t="shared" si="61"/>
        <v>#DIV/0!</v>
      </c>
      <c r="AM17" s="142" t="e">
        <f t="shared" si="61"/>
        <v>#DIV/0!</v>
      </c>
      <c r="AN17" s="142" t="e">
        <f t="shared" si="61"/>
        <v>#DIV/0!</v>
      </c>
      <c r="AO17" s="142" t="e">
        <f t="shared" si="61"/>
        <v>#DIV/0!</v>
      </c>
      <c r="AP17" s="142" t="e">
        <f t="shared" si="61"/>
        <v>#DIV/0!</v>
      </c>
      <c r="AQ17" s="142" t="e">
        <f t="shared" si="61"/>
        <v>#DIV/0!</v>
      </c>
      <c r="AR17" s="142" t="e">
        <f t="shared" si="61"/>
        <v>#DIV/0!</v>
      </c>
      <c r="AS17" s="4" t="e">
        <f>SUM(AN17:AR17)</f>
        <v>#DIV/0!</v>
      </c>
      <c r="AT17" s="142" t="e">
        <f t="shared" si="61"/>
        <v>#DIV/0!</v>
      </c>
      <c r="AU17" s="4" t="e">
        <f>SUM(Z17:AT17)-AE17-AH17-AS17</f>
        <v>#DIV/0!</v>
      </c>
      <c r="AV17" s="142" t="e">
        <f t="shared" si="61"/>
        <v>#DIV/0!</v>
      </c>
      <c r="AW17" s="142" t="e">
        <f t="shared" si="61"/>
        <v>#DIV/0!</v>
      </c>
      <c r="AX17" s="4" t="e">
        <f>Y17-AU17+AV17-AW17</f>
        <v>#DIV/0!</v>
      </c>
      <c r="AY17" s="142" t="e">
        <f t="shared" si="61"/>
        <v>#DIV/0!</v>
      </c>
      <c r="AZ17" s="142" t="e">
        <f t="shared" si="61"/>
        <v>#DIV/0!</v>
      </c>
      <c r="BA17" s="142" t="e">
        <f t="shared" si="61"/>
        <v>#DIV/0!</v>
      </c>
      <c r="BB17" s="142" t="e">
        <f t="shared" si="61"/>
        <v>#DIV/0!</v>
      </c>
      <c r="BC17" s="142" t="e">
        <f t="shared" si="61"/>
        <v>#DIV/0!</v>
      </c>
      <c r="BD17" s="142" t="e">
        <f t="shared" si="61"/>
        <v>#DIV/0!</v>
      </c>
      <c r="BE17" s="142" t="e">
        <f t="shared" si="61"/>
        <v>#DIV/0!</v>
      </c>
      <c r="BF17" s="41" t="e">
        <f>SUM(AZ17:BE17)</f>
        <v>#DIV/0!</v>
      </c>
      <c r="BG17" s="142" t="e">
        <f t="shared" si="61"/>
        <v>#DIV/0!</v>
      </c>
      <c r="BH17" s="142" t="e">
        <f t="shared" si="61"/>
        <v>#DIV/0!</v>
      </c>
      <c r="BI17" s="142" t="e">
        <f t="shared" si="61"/>
        <v>#DIV/0!</v>
      </c>
      <c r="BJ17" s="142" t="e">
        <f t="shared" si="61"/>
        <v>#DIV/0!</v>
      </c>
      <c r="BK17" s="142" t="e">
        <f t="shared" si="61"/>
        <v>#DIV/0!</v>
      </c>
      <c r="BL17" s="142" t="e">
        <f t="shared" si="61"/>
        <v>#DIV/0!</v>
      </c>
      <c r="BM17" s="142" t="e">
        <f t="shared" si="61"/>
        <v>#DIV/0!</v>
      </c>
      <c r="BN17" s="142" t="e">
        <f t="shared" si="61"/>
        <v>#DIV/0!</v>
      </c>
      <c r="BO17" s="41" t="e">
        <f>SUM(BG17:BN17)</f>
        <v>#DIV/0!</v>
      </c>
      <c r="BP17" s="142" t="e">
        <f t="shared" si="61"/>
        <v>#DIV/0!</v>
      </c>
      <c r="BQ17" s="142" t="e">
        <f t="shared" si="61"/>
        <v>#DIV/0!</v>
      </c>
      <c r="BR17" s="142" t="e">
        <f t="shared" si="61"/>
        <v>#DIV/0!</v>
      </c>
      <c r="BS17" s="41" t="e">
        <f>+BF17-BO17+BP17+BQ17-BR17</f>
        <v>#DIV/0!</v>
      </c>
      <c r="BT17" s="142" t="e">
        <f t="shared" si="61"/>
        <v>#DIV/0!</v>
      </c>
      <c r="BU17" s="142" t="e">
        <f t="shared" si="61"/>
        <v>#DIV/0!</v>
      </c>
      <c r="BV17" s="142" t="e">
        <f aca="true" t="shared" si="62" ref="BV17:CA17">(BV49/($B$49)*$B$17)+(BV50/($B$50)*$B$17)+(BV47)</f>
        <v>#DIV/0!</v>
      </c>
      <c r="BW17" s="142" t="e">
        <f t="shared" si="62"/>
        <v>#DIV/0!</v>
      </c>
      <c r="BX17" s="4" t="e">
        <f>SUM(BT17:BW17)</f>
        <v>#DIV/0!</v>
      </c>
      <c r="BY17" s="142" t="e">
        <f t="shared" si="62"/>
        <v>#DIV/0!</v>
      </c>
      <c r="BZ17" s="142" t="e">
        <f t="shared" si="62"/>
        <v>#DIV/0!</v>
      </c>
      <c r="CA17" s="142" t="e">
        <f t="shared" si="62"/>
        <v>#DIV/0!</v>
      </c>
      <c r="CB17" s="4" t="e">
        <f>SUM(BY17:CA17)</f>
        <v>#DIV/0!</v>
      </c>
      <c r="CC17" s="4" t="e">
        <f>BX17-CB17</f>
        <v>#DIV/0!</v>
      </c>
      <c r="CD17" s="70" t="e">
        <f>K17+L17+AV17-AW17</f>
        <v>#DIV/0!</v>
      </c>
      <c r="CE17" s="72" t="e">
        <f>CD17+W17-AS17</f>
        <v>#DIV/0!</v>
      </c>
      <c r="CF17" s="72" t="e">
        <f>BR17-BP17</f>
        <v>#DIV/0!</v>
      </c>
      <c r="CG17" s="72" t="e">
        <f t="shared" si="35"/>
        <v>#DIV/0!</v>
      </c>
      <c r="CH17" s="72" t="e">
        <f>I17-AG17+AY17+AH17+BQ17</f>
        <v>#DIV/0!</v>
      </c>
      <c r="CI17" s="35" t="e">
        <f>CH17+K17</f>
        <v>#DIV/0!</v>
      </c>
      <c r="CJ17" s="57" t="e">
        <f t="shared" si="36"/>
        <v>#DIV/0!</v>
      </c>
      <c r="CK17" s="57" t="e">
        <f t="shared" si="37"/>
        <v>#DIV/0!</v>
      </c>
      <c r="CL17" s="148" t="e">
        <f t="shared" si="38"/>
        <v>#DIV/0!</v>
      </c>
      <c r="CM17" s="148" t="e">
        <f t="shared" si="39"/>
        <v>#DIV/0!</v>
      </c>
      <c r="CN17" s="148" t="e">
        <f t="shared" si="40"/>
        <v>#DIV/0!</v>
      </c>
      <c r="CO17" s="148" t="e">
        <f t="shared" si="41"/>
        <v>#DIV/0!</v>
      </c>
      <c r="CP17" s="148" t="e">
        <f t="shared" si="42"/>
        <v>#DIV/0!</v>
      </c>
      <c r="CQ17" s="148" t="e">
        <f t="shared" si="43"/>
        <v>#DIV/0!</v>
      </c>
      <c r="CR17" s="149" t="e">
        <f t="shared" si="44"/>
        <v>#DIV/0!</v>
      </c>
      <c r="CS17" s="72" t="e">
        <f t="shared" si="45"/>
        <v>#DIV/0!</v>
      </c>
      <c r="CT17" s="76" t="e">
        <f>Y17-K17-L17-V17</f>
        <v>#DIV/0!</v>
      </c>
      <c r="CU17" s="76" t="e">
        <f>AU17-AR17</f>
        <v>#DIV/0!</v>
      </c>
      <c r="CV17" s="76" t="e">
        <f>CU17-CT17</f>
        <v>#DIV/0!</v>
      </c>
      <c r="CW17" s="76" t="e">
        <f>-V17+AR17</f>
        <v>#DIV/0!</v>
      </c>
      <c r="CX17" s="76" t="e">
        <f>CV17+CW17</f>
        <v>#DIV/0!</v>
      </c>
      <c r="CY17" s="76" t="e">
        <f>CX17-K17-L17</f>
        <v>#DIV/0!</v>
      </c>
      <c r="CZ17" s="76" t="e">
        <f>BR17-BP17</f>
        <v>#DIV/0!</v>
      </c>
      <c r="DA17" s="76" t="e">
        <f>K17+L17</f>
        <v>#DIV/0!</v>
      </c>
      <c r="DB17" s="76" t="e">
        <f>-CZ17+DA17+CY17</f>
        <v>#DIV/0!</v>
      </c>
      <c r="DC17" s="76" t="e">
        <f>-BP17-DA17</f>
        <v>#DIV/0!</v>
      </c>
      <c r="DD17" s="76" t="e">
        <f>DB17+DC17+BR17</f>
        <v>#DIV/0!</v>
      </c>
      <c r="DE17" s="76" t="e">
        <f>Z17+AA17+AB17</f>
        <v>#DIV/0!</v>
      </c>
      <c r="DF17" s="76" t="e">
        <f>CS17/B17</f>
        <v>#DIV/0!</v>
      </c>
      <c r="DG17" s="76" t="e">
        <f>CH17/B17</f>
        <v>#DIV/0!</v>
      </c>
      <c r="DH17" s="76" t="e">
        <f>DE17/B17</f>
        <v>#DIV/0!</v>
      </c>
      <c r="DI17" s="77" t="e">
        <f>CZ17/B17</f>
        <v>#DIV/0!</v>
      </c>
      <c r="DJ17" s="72" t="e">
        <f>DB17/B17</f>
        <v>#DIV/0!</v>
      </c>
      <c r="DK17" s="151" t="e">
        <f t="shared" si="46"/>
        <v>#DIV/0!</v>
      </c>
      <c r="DL17" s="72">
        <v>0</v>
      </c>
      <c r="DM17" s="72">
        <v>0</v>
      </c>
      <c r="DN17" s="63">
        <v>0</v>
      </c>
    </row>
    <row r="18" spans="1:118" ht="12.75">
      <c r="A18" s="49" t="s">
        <v>11</v>
      </c>
      <c r="B18" s="40"/>
      <c r="C18" s="36"/>
      <c r="D18" s="64"/>
      <c r="E18" s="64"/>
      <c r="F18" s="124">
        <v>14</v>
      </c>
      <c r="G18" s="13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f aca="true" t="shared" si="63" ref="W18:W31">SUM(R18:V18)</f>
        <v>0</v>
      </c>
      <c r="X18" s="40">
        <v>0</v>
      </c>
      <c r="Y18" s="41">
        <f aca="true" t="shared" si="64" ref="Y18:Y31">SUM(G18:X18)-M18-W18</f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1">
        <f aca="true" t="shared" si="65" ref="AE18:AE31">SUM(Z18:AD18)</f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4">
        <f aca="true" t="shared" si="66" ref="AS18:AS31">SUM(AN18:AR18)</f>
        <v>0</v>
      </c>
      <c r="AT18" s="36">
        <v>0</v>
      </c>
      <c r="AU18" s="4">
        <f aca="true" t="shared" si="67" ref="AU18:AU31">SUM(Z18:AT18)-AE18-AH18-AS18</f>
        <v>0</v>
      </c>
      <c r="AV18" s="36">
        <v>0</v>
      </c>
      <c r="AW18" s="36">
        <v>0</v>
      </c>
      <c r="AX18" s="4">
        <f aca="true" t="shared" si="68" ref="AX18:AX31">Y18-AU18+AV18-AW18</f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1">
        <f aca="true" t="shared" si="69" ref="BF18:BF31">SUM(AZ18:BE18)</f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1">
        <f aca="true" t="shared" si="70" ref="BO18:BO31">SUM(BG18:BN18)</f>
        <v>0</v>
      </c>
      <c r="BP18" s="40">
        <v>0</v>
      </c>
      <c r="BQ18" s="40">
        <v>0</v>
      </c>
      <c r="BR18" s="40">
        <v>0</v>
      </c>
      <c r="BS18" s="41">
        <f aca="true" t="shared" si="71" ref="BS18:BS31">+BF18-BO18+BP18+BQ18-BR18</f>
        <v>0</v>
      </c>
      <c r="BT18" s="36">
        <v>0</v>
      </c>
      <c r="BU18" s="36">
        <v>0</v>
      </c>
      <c r="BV18" s="36">
        <v>0</v>
      </c>
      <c r="BW18" s="36">
        <v>0</v>
      </c>
      <c r="BX18" s="4">
        <f aca="true" t="shared" si="72" ref="BX18:BX31">SUM(BT18:BW18)</f>
        <v>0</v>
      </c>
      <c r="BY18" s="36">
        <v>0</v>
      </c>
      <c r="BZ18" s="36">
        <v>0</v>
      </c>
      <c r="CA18" s="36">
        <v>0</v>
      </c>
      <c r="CB18" s="4">
        <f aca="true" t="shared" si="73" ref="CB18:CB31">SUM(BY18:CA18)</f>
        <v>0</v>
      </c>
      <c r="CC18" s="4">
        <f aca="true" t="shared" si="74" ref="CC18:CC31">BX18-CB18</f>
        <v>0</v>
      </c>
      <c r="CD18" s="70">
        <f aca="true" t="shared" si="75" ref="CD18:CD31">K18+L18+AV18-AW18</f>
        <v>0</v>
      </c>
      <c r="CE18" s="72">
        <f aca="true" t="shared" si="76" ref="CE18:CE31">CD18+W18-AS18</f>
        <v>0</v>
      </c>
      <c r="CF18" s="72">
        <f aca="true" t="shared" si="77" ref="CF18:CF31">BR18-BP18</f>
        <v>0</v>
      </c>
      <c r="CG18" s="72">
        <f t="shared" si="35"/>
        <v>0</v>
      </c>
      <c r="CH18" s="72">
        <f aca="true" t="shared" si="78" ref="CH18:CH31">I18-AG18+AY18+AH18+BQ18</f>
        <v>0</v>
      </c>
      <c r="CI18" s="35">
        <f aca="true" t="shared" si="79" ref="CI18:CI31">CH18+K18</f>
        <v>0</v>
      </c>
      <c r="CJ18" s="57" t="str">
        <f t="shared" si="36"/>
        <v>-</v>
      </c>
      <c r="CK18" s="57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72">
        <f t="shared" si="45"/>
        <v>0</v>
      </c>
      <c r="CT18" s="76">
        <f aca="true" t="shared" si="80" ref="CT18:CT31">Y18-K18-L18-V18</f>
        <v>0</v>
      </c>
      <c r="CU18" s="76">
        <f aca="true" t="shared" si="81" ref="CU18:CU31">AU18-AR18</f>
        <v>0</v>
      </c>
      <c r="CV18" s="76">
        <f aca="true" t="shared" si="82" ref="CV18:CV31">CU18-CT18</f>
        <v>0</v>
      </c>
      <c r="CW18" s="76">
        <f aca="true" t="shared" si="83" ref="CW18:CW31">-V18+AR18</f>
        <v>0</v>
      </c>
      <c r="CX18" s="76">
        <f aca="true" t="shared" si="84" ref="CX18:CX31">CV18+CW18</f>
        <v>0</v>
      </c>
      <c r="CY18" s="76">
        <f aca="true" t="shared" si="85" ref="CY18:CY31">CX18-K18-L18</f>
        <v>0</v>
      </c>
      <c r="CZ18" s="76">
        <f aca="true" t="shared" si="86" ref="CZ18:CZ31">BR18-BP18</f>
        <v>0</v>
      </c>
      <c r="DA18" s="76">
        <f aca="true" t="shared" si="87" ref="DA18:DA31">K18+L18</f>
        <v>0</v>
      </c>
      <c r="DB18" s="76">
        <f aca="true" t="shared" si="88" ref="DB18:DB31">-CZ18+DA18+CY18</f>
        <v>0</v>
      </c>
      <c r="DC18" s="76">
        <f aca="true" t="shared" si="89" ref="DC18:DC31">-BP18-DA18</f>
        <v>0</v>
      </c>
      <c r="DD18" s="76">
        <f aca="true" t="shared" si="90" ref="DD18:DD31">DB18+DC18+BR18</f>
        <v>0</v>
      </c>
      <c r="DE18" s="76">
        <f aca="true" t="shared" si="91" ref="DE18:DE31">Z18+AA18+AB18</f>
        <v>0</v>
      </c>
      <c r="DF18" s="76" t="e">
        <f aca="true" t="shared" si="92" ref="DF18:DF31">CS18/B18</f>
        <v>#DIV/0!</v>
      </c>
      <c r="DG18" s="76" t="e">
        <f aca="true" t="shared" si="93" ref="DG18:DG31">CH18/B18</f>
        <v>#DIV/0!</v>
      </c>
      <c r="DH18" s="76" t="e">
        <f aca="true" t="shared" si="94" ref="DH18:DH31">DE18/B18</f>
        <v>#DIV/0!</v>
      </c>
      <c r="DI18" s="77" t="e">
        <f aca="true" t="shared" si="95" ref="DI18:DI31">CZ18/B18</f>
        <v>#DIV/0!</v>
      </c>
      <c r="DJ18" s="72" t="e">
        <f aca="true" t="shared" si="96" ref="DJ18:DJ31">DB18/B18</f>
        <v>#DIV/0!</v>
      </c>
      <c r="DK18" s="151">
        <f t="shared" si="46"/>
        <v>0</v>
      </c>
      <c r="DL18" s="136">
        <v>0</v>
      </c>
      <c r="DM18" s="136">
        <v>0</v>
      </c>
      <c r="DN18" s="65">
        <v>0</v>
      </c>
    </row>
    <row r="19" spans="1:118" ht="12.75">
      <c r="A19" s="50" t="s">
        <v>35</v>
      </c>
      <c r="B19" s="41"/>
      <c r="C19" s="4"/>
      <c r="D19" s="66"/>
      <c r="E19" s="66"/>
      <c r="F19" s="8">
        <v>12</v>
      </c>
      <c r="G19" s="129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f t="shared" si="0"/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f t="shared" si="63"/>
        <v>0</v>
      </c>
      <c r="X19" s="41">
        <v>0</v>
      </c>
      <c r="Y19" s="41">
        <f t="shared" si="64"/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f t="shared" si="65"/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66"/>
        <v>0</v>
      </c>
      <c r="AT19" s="4">
        <v>0</v>
      </c>
      <c r="AU19" s="4">
        <f t="shared" si="67"/>
        <v>0</v>
      </c>
      <c r="AV19" s="4">
        <v>0</v>
      </c>
      <c r="AW19" s="4">
        <v>0</v>
      </c>
      <c r="AX19" s="4">
        <f t="shared" si="68"/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f t="shared" si="69"/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f t="shared" si="70"/>
        <v>0</v>
      </c>
      <c r="BP19" s="41">
        <v>0</v>
      </c>
      <c r="BQ19" s="41">
        <v>0</v>
      </c>
      <c r="BR19" s="41">
        <v>0</v>
      </c>
      <c r="BS19" s="41">
        <f t="shared" si="71"/>
        <v>0</v>
      </c>
      <c r="BT19" s="4">
        <v>0</v>
      </c>
      <c r="BU19" s="4">
        <v>0</v>
      </c>
      <c r="BV19" s="4">
        <v>0</v>
      </c>
      <c r="BW19" s="4">
        <v>0</v>
      </c>
      <c r="BX19" s="4">
        <f t="shared" si="72"/>
        <v>0</v>
      </c>
      <c r="BY19" s="4">
        <v>0</v>
      </c>
      <c r="BZ19" s="4">
        <v>0</v>
      </c>
      <c r="CA19" s="4">
        <v>0</v>
      </c>
      <c r="CB19" s="4">
        <f t="shared" si="73"/>
        <v>0</v>
      </c>
      <c r="CC19" s="4">
        <f t="shared" si="74"/>
        <v>0</v>
      </c>
      <c r="CD19" s="70">
        <f t="shared" si="75"/>
        <v>0</v>
      </c>
      <c r="CE19" s="72">
        <f t="shared" si="76"/>
        <v>0</v>
      </c>
      <c r="CF19" s="72">
        <f t="shared" si="77"/>
        <v>0</v>
      </c>
      <c r="CG19" s="72">
        <f t="shared" si="35"/>
        <v>0</v>
      </c>
      <c r="CH19" s="72">
        <f t="shared" si="78"/>
        <v>0</v>
      </c>
      <c r="CI19" s="35">
        <f t="shared" si="79"/>
        <v>0</v>
      </c>
      <c r="CJ19" s="57" t="str">
        <f t="shared" si="36"/>
        <v>-</v>
      </c>
      <c r="CK19" s="57" t="str">
        <f t="shared" si="37"/>
        <v>-</v>
      </c>
      <c r="CL19" s="148" t="str">
        <f t="shared" si="38"/>
        <v>-</v>
      </c>
      <c r="CM19" s="148" t="str">
        <f t="shared" si="39"/>
        <v>-</v>
      </c>
      <c r="CN19" s="148" t="str">
        <f t="shared" si="40"/>
        <v>-</v>
      </c>
      <c r="CO19" s="148" t="str">
        <f t="shared" si="41"/>
        <v>-</v>
      </c>
      <c r="CP19" s="148" t="str">
        <f t="shared" si="42"/>
        <v>-</v>
      </c>
      <c r="CQ19" s="148" t="str">
        <f t="shared" si="43"/>
        <v>-</v>
      </c>
      <c r="CR19" s="149" t="str">
        <f t="shared" si="44"/>
        <v>-</v>
      </c>
      <c r="CS19" s="72">
        <f t="shared" si="45"/>
        <v>0</v>
      </c>
      <c r="CT19" s="76">
        <f t="shared" si="80"/>
        <v>0</v>
      </c>
      <c r="CU19" s="76">
        <f t="shared" si="81"/>
        <v>0</v>
      </c>
      <c r="CV19" s="76">
        <f t="shared" si="82"/>
        <v>0</v>
      </c>
      <c r="CW19" s="76">
        <f t="shared" si="83"/>
        <v>0</v>
      </c>
      <c r="CX19" s="76">
        <f t="shared" si="84"/>
        <v>0</v>
      </c>
      <c r="CY19" s="76">
        <f t="shared" si="85"/>
        <v>0</v>
      </c>
      <c r="CZ19" s="76">
        <f t="shared" si="86"/>
        <v>0</v>
      </c>
      <c r="DA19" s="76">
        <f t="shared" si="87"/>
        <v>0</v>
      </c>
      <c r="DB19" s="76">
        <f t="shared" si="88"/>
        <v>0</v>
      </c>
      <c r="DC19" s="76">
        <f t="shared" si="89"/>
        <v>0</v>
      </c>
      <c r="DD19" s="76">
        <f t="shared" si="90"/>
        <v>0</v>
      </c>
      <c r="DE19" s="76">
        <f t="shared" si="91"/>
        <v>0</v>
      </c>
      <c r="DF19" s="76" t="e">
        <f t="shared" si="92"/>
        <v>#DIV/0!</v>
      </c>
      <c r="DG19" s="76" t="e">
        <f t="shared" si="93"/>
        <v>#DIV/0!</v>
      </c>
      <c r="DH19" s="76" t="e">
        <f t="shared" si="94"/>
        <v>#DIV/0!</v>
      </c>
      <c r="DI19" s="77" t="e">
        <f t="shared" si="95"/>
        <v>#DIV/0!</v>
      </c>
      <c r="DJ19" s="72" t="e">
        <f t="shared" si="96"/>
        <v>#DIV/0!</v>
      </c>
      <c r="DK19" s="151">
        <f t="shared" si="46"/>
        <v>0</v>
      </c>
      <c r="DL19" s="72">
        <v>0</v>
      </c>
      <c r="DM19" s="72">
        <v>0</v>
      </c>
      <c r="DN19" s="63">
        <v>0</v>
      </c>
    </row>
    <row r="20" spans="1:118" ht="12.75">
      <c r="A20" s="49" t="s">
        <v>12</v>
      </c>
      <c r="B20" s="40"/>
      <c r="C20" s="36"/>
      <c r="D20" s="64"/>
      <c r="E20" s="64"/>
      <c r="F20" s="124">
        <v>10</v>
      </c>
      <c r="G20" s="13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f t="shared" si="0"/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1">
        <f t="shared" si="63"/>
        <v>0</v>
      </c>
      <c r="X20" s="40">
        <v>0</v>
      </c>
      <c r="Y20" s="41">
        <f t="shared" si="64"/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1">
        <f t="shared" si="65"/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4">
        <f t="shared" si="66"/>
        <v>0</v>
      </c>
      <c r="AT20" s="36">
        <v>0</v>
      </c>
      <c r="AU20" s="4">
        <f t="shared" si="67"/>
        <v>0</v>
      </c>
      <c r="AV20" s="36">
        <v>0</v>
      </c>
      <c r="AW20" s="36">
        <v>0</v>
      </c>
      <c r="AX20" s="4">
        <f t="shared" si="68"/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1">
        <f t="shared" si="69"/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1">
        <f t="shared" si="70"/>
        <v>0</v>
      </c>
      <c r="BP20" s="40">
        <v>0</v>
      </c>
      <c r="BQ20" s="40">
        <v>0</v>
      </c>
      <c r="BR20" s="40">
        <v>0</v>
      </c>
      <c r="BS20" s="41">
        <f t="shared" si="71"/>
        <v>0</v>
      </c>
      <c r="BT20" s="36">
        <v>0</v>
      </c>
      <c r="BU20" s="36">
        <v>0</v>
      </c>
      <c r="BV20" s="36">
        <v>0</v>
      </c>
      <c r="BW20" s="36">
        <v>0</v>
      </c>
      <c r="BX20" s="4">
        <f t="shared" si="72"/>
        <v>0</v>
      </c>
      <c r="BY20" s="36">
        <v>0</v>
      </c>
      <c r="BZ20" s="36">
        <v>0</v>
      </c>
      <c r="CA20" s="36">
        <v>0</v>
      </c>
      <c r="CB20" s="4">
        <f t="shared" si="73"/>
        <v>0</v>
      </c>
      <c r="CC20" s="4">
        <f t="shared" si="74"/>
        <v>0</v>
      </c>
      <c r="CD20" s="70">
        <f t="shared" si="75"/>
        <v>0</v>
      </c>
      <c r="CE20" s="72">
        <f t="shared" si="76"/>
        <v>0</v>
      </c>
      <c r="CF20" s="72">
        <f t="shared" si="77"/>
        <v>0</v>
      </c>
      <c r="CG20" s="72">
        <f t="shared" si="35"/>
        <v>0</v>
      </c>
      <c r="CH20" s="72">
        <f t="shared" si="78"/>
        <v>0</v>
      </c>
      <c r="CI20" s="35">
        <f t="shared" si="79"/>
        <v>0</v>
      </c>
      <c r="CJ20" s="57" t="str">
        <f t="shared" si="36"/>
        <v>-</v>
      </c>
      <c r="CK20" s="57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72">
        <f t="shared" si="45"/>
        <v>0</v>
      </c>
      <c r="CT20" s="76">
        <f t="shared" si="80"/>
        <v>0</v>
      </c>
      <c r="CU20" s="76">
        <f t="shared" si="81"/>
        <v>0</v>
      </c>
      <c r="CV20" s="76">
        <f t="shared" si="82"/>
        <v>0</v>
      </c>
      <c r="CW20" s="76">
        <f t="shared" si="83"/>
        <v>0</v>
      </c>
      <c r="CX20" s="76">
        <f t="shared" si="84"/>
        <v>0</v>
      </c>
      <c r="CY20" s="76">
        <f t="shared" si="85"/>
        <v>0</v>
      </c>
      <c r="CZ20" s="76">
        <f t="shared" si="86"/>
        <v>0</v>
      </c>
      <c r="DA20" s="76">
        <f t="shared" si="87"/>
        <v>0</v>
      </c>
      <c r="DB20" s="76">
        <f t="shared" si="88"/>
        <v>0</v>
      </c>
      <c r="DC20" s="76">
        <f t="shared" si="89"/>
        <v>0</v>
      </c>
      <c r="DD20" s="76">
        <f t="shared" si="90"/>
        <v>0</v>
      </c>
      <c r="DE20" s="76">
        <f t="shared" si="91"/>
        <v>0</v>
      </c>
      <c r="DF20" s="76" t="e">
        <f t="shared" si="92"/>
        <v>#DIV/0!</v>
      </c>
      <c r="DG20" s="76" t="e">
        <f t="shared" si="93"/>
        <v>#DIV/0!</v>
      </c>
      <c r="DH20" s="76" t="e">
        <f t="shared" si="94"/>
        <v>#DIV/0!</v>
      </c>
      <c r="DI20" s="77" t="e">
        <f t="shared" si="95"/>
        <v>#DIV/0!</v>
      </c>
      <c r="DJ20" s="72" t="e">
        <f t="shared" si="96"/>
        <v>#DIV/0!</v>
      </c>
      <c r="DK20" s="151">
        <f t="shared" si="46"/>
        <v>0</v>
      </c>
      <c r="DL20" s="136">
        <v>0</v>
      </c>
      <c r="DM20" s="136">
        <v>0</v>
      </c>
      <c r="DN20" s="65">
        <v>0</v>
      </c>
    </row>
    <row r="21" spans="1:118" ht="12.75">
      <c r="A21" s="50" t="s">
        <v>219</v>
      </c>
      <c r="B21" s="41"/>
      <c r="C21" s="4"/>
      <c r="D21" s="66"/>
      <c r="E21" s="66"/>
      <c r="F21" s="8">
        <v>11</v>
      </c>
      <c r="G21" s="129">
        <f>SUM(G40:G41)</f>
        <v>0</v>
      </c>
      <c r="H21" s="129">
        <f aca="true" t="shared" si="97" ref="H21:BU21">SUM(H40:H41)</f>
        <v>0</v>
      </c>
      <c r="I21" s="129">
        <f t="shared" si="97"/>
        <v>0</v>
      </c>
      <c r="J21" s="129">
        <f t="shared" si="97"/>
        <v>0</v>
      </c>
      <c r="K21" s="129">
        <f t="shared" si="97"/>
        <v>0</v>
      </c>
      <c r="L21" s="129">
        <f t="shared" si="97"/>
        <v>0</v>
      </c>
      <c r="M21" s="41">
        <f t="shared" si="0"/>
        <v>0</v>
      </c>
      <c r="N21" s="129">
        <f>SUM(N40:N41)</f>
        <v>0</v>
      </c>
      <c r="O21" s="129">
        <f t="shared" si="97"/>
        <v>0</v>
      </c>
      <c r="P21" s="129">
        <f t="shared" si="97"/>
        <v>0</v>
      </c>
      <c r="Q21" s="129">
        <f t="shared" si="97"/>
        <v>0</v>
      </c>
      <c r="R21" s="129">
        <f t="shared" si="97"/>
        <v>0</v>
      </c>
      <c r="S21" s="129">
        <f t="shared" si="97"/>
        <v>0</v>
      </c>
      <c r="T21" s="129">
        <f t="shared" si="97"/>
        <v>0</v>
      </c>
      <c r="U21" s="129">
        <f t="shared" si="97"/>
        <v>0</v>
      </c>
      <c r="V21" s="129">
        <f t="shared" si="97"/>
        <v>0</v>
      </c>
      <c r="W21" s="41">
        <f t="shared" si="63"/>
        <v>0</v>
      </c>
      <c r="X21" s="129">
        <f t="shared" si="97"/>
        <v>0</v>
      </c>
      <c r="Y21" s="41">
        <f t="shared" si="64"/>
        <v>0</v>
      </c>
      <c r="Z21" s="129">
        <f t="shared" si="97"/>
        <v>0</v>
      </c>
      <c r="AA21" s="129">
        <f t="shared" si="97"/>
        <v>0</v>
      </c>
      <c r="AB21" s="129">
        <f t="shared" si="97"/>
        <v>0</v>
      </c>
      <c r="AC21" s="129">
        <f t="shared" si="97"/>
        <v>0</v>
      </c>
      <c r="AD21" s="129">
        <f t="shared" si="97"/>
        <v>0</v>
      </c>
      <c r="AE21" s="41">
        <f t="shared" si="65"/>
        <v>0</v>
      </c>
      <c r="AF21" s="129">
        <f t="shared" si="97"/>
        <v>0</v>
      </c>
      <c r="AG21" s="129">
        <f t="shared" si="97"/>
        <v>0</v>
      </c>
      <c r="AH21" s="129">
        <f t="shared" si="97"/>
        <v>0</v>
      </c>
      <c r="AI21" s="129">
        <f t="shared" si="97"/>
        <v>0</v>
      </c>
      <c r="AJ21" s="129">
        <f t="shared" si="97"/>
        <v>0</v>
      </c>
      <c r="AK21" s="129">
        <f t="shared" si="97"/>
        <v>0</v>
      </c>
      <c r="AL21" s="129">
        <f t="shared" si="97"/>
        <v>0</v>
      </c>
      <c r="AM21" s="129">
        <f t="shared" si="97"/>
        <v>0</v>
      </c>
      <c r="AN21" s="129">
        <f t="shared" si="97"/>
        <v>0</v>
      </c>
      <c r="AO21" s="129">
        <f t="shared" si="97"/>
        <v>0</v>
      </c>
      <c r="AP21" s="129">
        <f t="shared" si="97"/>
        <v>0</v>
      </c>
      <c r="AQ21" s="129">
        <f t="shared" si="97"/>
        <v>0</v>
      </c>
      <c r="AR21" s="129">
        <f t="shared" si="97"/>
        <v>0</v>
      </c>
      <c r="AS21" s="4">
        <f t="shared" si="66"/>
        <v>0</v>
      </c>
      <c r="AT21" s="129">
        <f t="shared" si="97"/>
        <v>0</v>
      </c>
      <c r="AU21" s="4">
        <f t="shared" si="67"/>
        <v>0</v>
      </c>
      <c r="AV21" s="129">
        <f t="shared" si="97"/>
        <v>0</v>
      </c>
      <c r="AW21" s="129">
        <f t="shared" si="97"/>
        <v>0</v>
      </c>
      <c r="AX21" s="4">
        <f t="shared" si="68"/>
        <v>0</v>
      </c>
      <c r="AY21" s="129">
        <f t="shared" si="97"/>
        <v>0</v>
      </c>
      <c r="AZ21" s="129">
        <f t="shared" si="97"/>
        <v>0</v>
      </c>
      <c r="BA21" s="129">
        <f t="shared" si="97"/>
        <v>0</v>
      </c>
      <c r="BB21" s="129">
        <f t="shared" si="97"/>
        <v>0</v>
      </c>
      <c r="BC21" s="129">
        <f t="shared" si="97"/>
        <v>0</v>
      </c>
      <c r="BD21" s="129">
        <f t="shared" si="97"/>
        <v>0</v>
      </c>
      <c r="BE21" s="129">
        <f t="shared" si="97"/>
        <v>0</v>
      </c>
      <c r="BF21" s="41">
        <f t="shared" si="69"/>
        <v>0</v>
      </c>
      <c r="BG21" s="129">
        <f t="shared" si="97"/>
        <v>0</v>
      </c>
      <c r="BH21" s="129">
        <f t="shared" si="97"/>
        <v>0</v>
      </c>
      <c r="BI21" s="129">
        <f t="shared" si="97"/>
        <v>0</v>
      </c>
      <c r="BJ21" s="129">
        <f t="shared" si="97"/>
        <v>0</v>
      </c>
      <c r="BK21" s="129">
        <f t="shared" si="97"/>
        <v>0</v>
      </c>
      <c r="BL21" s="129">
        <f t="shared" si="97"/>
        <v>0</v>
      </c>
      <c r="BM21" s="129">
        <f t="shared" si="97"/>
        <v>0</v>
      </c>
      <c r="BN21" s="129">
        <f t="shared" si="97"/>
        <v>0</v>
      </c>
      <c r="BO21" s="41">
        <f t="shared" si="70"/>
        <v>0</v>
      </c>
      <c r="BP21" s="129">
        <f t="shared" si="97"/>
        <v>0</v>
      </c>
      <c r="BQ21" s="129">
        <f t="shared" si="97"/>
        <v>0</v>
      </c>
      <c r="BR21" s="129">
        <f t="shared" si="97"/>
        <v>0</v>
      </c>
      <c r="BS21" s="41">
        <f t="shared" si="71"/>
        <v>0</v>
      </c>
      <c r="BT21" s="129">
        <f t="shared" si="97"/>
        <v>0</v>
      </c>
      <c r="BU21" s="129">
        <f t="shared" si="97"/>
        <v>0</v>
      </c>
      <c r="BV21" s="129">
        <f aca="true" t="shared" si="98" ref="BV21:CA21">SUM(BV40:BV41)</f>
        <v>0</v>
      </c>
      <c r="BW21" s="129">
        <f t="shared" si="98"/>
        <v>0</v>
      </c>
      <c r="BX21" s="4">
        <f t="shared" si="72"/>
        <v>0</v>
      </c>
      <c r="BY21" s="129">
        <f t="shared" si="98"/>
        <v>0</v>
      </c>
      <c r="BZ21" s="129">
        <f t="shared" si="98"/>
        <v>0</v>
      </c>
      <c r="CA21" s="129">
        <f t="shared" si="98"/>
        <v>0</v>
      </c>
      <c r="CB21" s="4">
        <f t="shared" si="73"/>
        <v>0</v>
      </c>
      <c r="CC21" s="4">
        <f t="shared" si="74"/>
        <v>0</v>
      </c>
      <c r="CD21" s="70">
        <f t="shared" si="75"/>
        <v>0</v>
      </c>
      <c r="CE21" s="72">
        <f t="shared" si="76"/>
        <v>0</v>
      </c>
      <c r="CF21" s="72">
        <f t="shared" si="77"/>
        <v>0</v>
      </c>
      <c r="CG21" s="72">
        <f t="shared" si="35"/>
        <v>0</v>
      </c>
      <c r="CH21" s="72">
        <f t="shared" si="78"/>
        <v>0</v>
      </c>
      <c r="CI21" s="35">
        <f t="shared" si="79"/>
        <v>0</v>
      </c>
      <c r="CJ21" s="57" t="str">
        <f t="shared" si="36"/>
        <v>-</v>
      </c>
      <c r="CK21" s="57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72">
        <f t="shared" si="45"/>
        <v>0</v>
      </c>
      <c r="CT21" s="76">
        <f t="shared" si="80"/>
        <v>0</v>
      </c>
      <c r="CU21" s="76">
        <f t="shared" si="81"/>
        <v>0</v>
      </c>
      <c r="CV21" s="76">
        <f t="shared" si="82"/>
        <v>0</v>
      </c>
      <c r="CW21" s="76">
        <f t="shared" si="83"/>
        <v>0</v>
      </c>
      <c r="CX21" s="76">
        <f t="shared" si="84"/>
        <v>0</v>
      </c>
      <c r="CY21" s="76">
        <f t="shared" si="85"/>
        <v>0</v>
      </c>
      <c r="CZ21" s="76">
        <f t="shared" si="86"/>
        <v>0</v>
      </c>
      <c r="DA21" s="76">
        <f t="shared" si="87"/>
        <v>0</v>
      </c>
      <c r="DB21" s="76">
        <f t="shared" si="88"/>
        <v>0</v>
      </c>
      <c r="DC21" s="76">
        <f t="shared" si="89"/>
        <v>0</v>
      </c>
      <c r="DD21" s="76">
        <f t="shared" si="90"/>
        <v>0</v>
      </c>
      <c r="DE21" s="76">
        <f t="shared" si="91"/>
        <v>0</v>
      </c>
      <c r="DF21" s="76" t="e">
        <f t="shared" si="92"/>
        <v>#DIV/0!</v>
      </c>
      <c r="DG21" s="76" t="e">
        <f t="shared" si="93"/>
        <v>#DIV/0!</v>
      </c>
      <c r="DH21" s="76" t="e">
        <f t="shared" si="94"/>
        <v>#DIV/0!</v>
      </c>
      <c r="DI21" s="77" t="e">
        <f t="shared" si="95"/>
        <v>#DIV/0!</v>
      </c>
      <c r="DJ21" s="72" t="e">
        <f t="shared" si="96"/>
        <v>#DIV/0!</v>
      </c>
      <c r="DK21" s="151">
        <f t="shared" si="46"/>
        <v>0</v>
      </c>
      <c r="DL21" s="72">
        <f>DL40+DL41</f>
        <v>0</v>
      </c>
      <c r="DM21" s="72">
        <f>DM40+DM41</f>
        <v>0</v>
      </c>
      <c r="DN21" s="63">
        <v>0</v>
      </c>
    </row>
    <row r="22" spans="1:118" ht="12.75">
      <c r="A22" s="49" t="s">
        <v>14</v>
      </c>
      <c r="B22" s="40"/>
      <c r="C22" s="36"/>
      <c r="D22" s="64"/>
      <c r="E22" s="64"/>
      <c r="F22" s="124">
        <v>15</v>
      </c>
      <c r="G22" s="13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1">
        <f t="shared" si="0"/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1">
        <f t="shared" si="63"/>
        <v>0</v>
      </c>
      <c r="X22" s="40">
        <v>0</v>
      </c>
      <c r="Y22" s="41">
        <f t="shared" si="64"/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1">
        <f t="shared" si="65"/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4">
        <f t="shared" si="66"/>
        <v>0</v>
      </c>
      <c r="AT22" s="36">
        <v>0</v>
      </c>
      <c r="AU22" s="4">
        <f t="shared" si="67"/>
        <v>0</v>
      </c>
      <c r="AV22" s="36">
        <v>0</v>
      </c>
      <c r="AW22" s="36">
        <v>0</v>
      </c>
      <c r="AX22" s="4">
        <f t="shared" si="68"/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1">
        <f t="shared" si="69"/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1">
        <f t="shared" si="70"/>
        <v>0</v>
      </c>
      <c r="BP22" s="40">
        <v>0</v>
      </c>
      <c r="BQ22" s="40">
        <v>0</v>
      </c>
      <c r="BR22" s="40">
        <v>0</v>
      </c>
      <c r="BS22" s="41">
        <f t="shared" si="71"/>
        <v>0</v>
      </c>
      <c r="BT22" s="36">
        <v>0</v>
      </c>
      <c r="BU22" s="36">
        <v>0</v>
      </c>
      <c r="BV22" s="36">
        <v>0</v>
      </c>
      <c r="BW22" s="36">
        <v>0</v>
      </c>
      <c r="BX22" s="4">
        <f t="shared" si="72"/>
        <v>0</v>
      </c>
      <c r="BY22" s="36">
        <v>0</v>
      </c>
      <c r="BZ22" s="36">
        <v>0</v>
      </c>
      <c r="CA22" s="36">
        <v>0</v>
      </c>
      <c r="CB22" s="4">
        <f t="shared" si="73"/>
        <v>0</v>
      </c>
      <c r="CC22" s="4">
        <f t="shared" si="74"/>
        <v>0</v>
      </c>
      <c r="CD22" s="70">
        <f t="shared" si="75"/>
        <v>0</v>
      </c>
      <c r="CE22" s="72">
        <f t="shared" si="76"/>
        <v>0</v>
      </c>
      <c r="CF22" s="72">
        <f t="shared" si="77"/>
        <v>0</v>
      </c>
      <c r="CG22" s="72">
        <f t="shared" si="35"/>
        <v>0</v>
      </c>
      <c r="CH22" s="72">
        <f t="shared" si="78"/>
        <v>0</v>
      </c>
      <c r="CI22" s="35">
        <f t="shared" si="79"/>
        <v>0</v>
      </c>
      <c r="CJ22" s="57" t="str">
        <f t="shared" si="36"/>
        <v>-</v>
      </c>
      <c r="CK22" s="57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72">
        <f t="shared" si="45"/>
        <v>0</v>
      </c>
      <c r="CT22" s="76">
        <f t="shared" si="80"/>
        <v>0</v>
      </c>
      <c r="CU22" s="76">
        <f t="shared" si="81"/>
        <v>0</v>
      </c>
      <c r="CV22" s="76">
        <f t="shared" si="82"/>
        <v>0</v>
      </c>
      <c r="CW22" s="76">
        <f t="shared" si="83"/>
        <v>0</v>
      </c>
      <c r="CX22" s="76">
        <f t="shared" si="84"/>
        <v>0</v>
      </c>
      <c r="CY22" s="76">
        <f t="shared" si="85"/>
        <v>0</v>
      </c>
      <c r="CZ22" s="76">
        <f t="shared" si="86"/>
        <v>0</v>
      </c>
      <c r="DA22" s="76">
        <f t="shared" si="87"/>
        <v>0</v>
      </c>
      <c r="DB22" s="76">
        <f t="shared" si="88"/>
        <v>0</v>
      </c>
      <c r="DC22" s="76">
        <f t="shared" si="89"/>
        <v>0</v>
      </c>
      <c r="DD22" s="76">
        <f t="shared" si="90"/>
        <v>0</v>
      </c>
      <c r="DE22" s="76">
        <f t="shared" si="91"/>
        <v>0</v>
      </c>
      <c r="DF22" s="76" t="e">
        <f t="shared" si="92"/>
        <v>#DIV/0!</v>
      </c>
      <c r="DG22" s="76" t="e">
        <f t="shared" si="93"/>
        <v>#DIV/0!</v>
      </c>
      <c r="DH22" s="76" t="e">
        <f t="shared" si="94"/>
        <v>#DIV/0!</v>
      </c>
      <c r="DI22" s="77" t="e">
        <f t="shared" si="95"/>
        <v>#DIV/0!</v>
      </c>
      <c r="DJ22" s="72" t="e">
        <f t="shared" si="96"/>
        <v>#DIV/0!</v>
      </c>
      <c r="DK22" s="151">
        <f t="shared" si="46"/>
        <v>0</v>
      </c>
      <c r="DL22" s="136">
        <v>0</v>
      </c>
      <c r="DM22" s="136">
        <v>0</v>
      </c>
      <c r="DN22" s="65">
        <v>0</v>
      </c>
    </row>
    <row r="23" spans="1:118" ht="12.75">
      <c r="A23" s="50" t="s">
        <v>15</v>
      </c>
      <c r="B23" s="41"/>
      <c r="C23" s="4"/>
      <c r="D23" s="66"/>
      <c r="E23" s="66"/>
      <c r="F23" s="8">
        <v>11</v>
      </c>
      <c r="G23" s="135" t="e">
        <f>(G43/($B$12+$B$14+$B$23)*$B$23)</f>
        <v>#DIV/0!</v>
      </c>
      <c r="H23" s="135" t="e">
        <f aca="true" t="shared" si="99" ref="H23:BU23">(H43/($B$12+$B$14+$B$23)*$B$23)</f>
        <v>#DIV/0!</v>
      </c>
      <c r="I23" s="135" t="e">
        <f t="shared" si="99"/>
        <v>#DIV/0!</v>
      </c>
      <c r="J23" s="135" t="e">
        <f t="shared" si="99"/>
        <v>#DIV/0!</v>
      </c>
      <c r="K23" s="135" t="e">
        <f t="shared" si="99"/>
        <v>#DIV/0!</v>
      </c>
      <c r="L23" s="135" t="e">
        <f t="shared" si="99"/>
        <v>#DIV/0!</v>
      </c>
      <c r="M23" s="41" t="e">
        <f t="shared" si="0"/>
        <v>#DIV/0!</v>
      </c>
      <c r="N23" s="135" t="e">
        <f t="shared" si="99"/>
        <v>#DIV/0!</v>
      </c>
      <c r="O23" s="135" t="e">
        <f t="shared" si="99"/>
        <v>#DIV/0!</v>
      </c>
      <c r="P23" s="135" t="e">
        <f t="shared" si="99"/>
        <v>#DIV/0!</v>
      </c>
      <c r="Q23" s="135" t="e">
        <f t="shared" si="99"/>
        <v>#DIV/0!</v>
      </c>
      <c r="R23" s="135" t="e">
        <f t="shared" si="99"/>
        <v>#DIV/0!</v>
      </c>
      <c r="S23" s="135" t="e">
        <f t="shared" si="99"/>
        <v>#DIV/0!</v>
      </c>
      <c r="T23" s="135" t="e">
        <f t="shared" si="99"/>
        <v>#DIV/0!</v>
      </c>
      <c r="U23" s="135" t="e">
        <f t="shared" si="99"/>
        <v>#DIV/0!</v>
      </c>
      <c r="V23" s="135" t="e">
        <f t="shared" si="99"/>
        <v>#DIV/0!</v>
      </c>
      <c r="W23" s="41" t="e">
        <f t="shared" si="63"/>
        <v>#DIV/0!</v>
      </c>
      <c r="X23" s="135" t="e">
        <f t="shared" si="99"/>
        <v>#DIV/0!</v>
      </c>
      <c r="Y23" s="41" t="e">
        <f>SUM(G23:X23)-M23-W23</f>
        <v>#DIV/0!</v>
      </c>
      <c r="Z23" s="135" t="e">
        <f t="shared" si="99"/>
        <v>#DIV/0!</v>
      </c>
      <c r="AA23" s="135" t="e">
        <f t="shared" si="99"/>
        <v>#DIV/0!</v>
      </c>
      <c r="AB23" s="135" t="e">
        <f t="shared" si="99"/>
        <v>#DIV/0!</v>
      </c>
      <c r="AC23" s="135" t="e">
        <f t="shared" si="99"/>
        <v>#DIV/0!</v>
      </c>
      <c r="AD23" s="135" t="e">
        <f t="shared" si="99"/>
        <v>#DIV/0!</v>
      </c>
      <c r="AE23" s="41" t="e">
        <f t="shared" si="65"/>
        <v>#DIV/0!</v>
      </c>
      <c r="AF23" s="135" t="e">
        <f t="shared" si="99"/>
        <v>#DIV/0!</v>
      </c>
      <c r="AG23" s="135" t="e">
        <f t="shared" si="99"/>
        <v>#DIV/0!</v>
      </c>
      <c r="AH23" s="135" t="e">
        <f t="shared" si="99"/>
        <v>#DIV/0!</v>
      </c>
      <c r="AI23" s="135" t="e">
        <f t="shared" si="99"/>
        <v>#DIV/0!</v>
      </c>
      <c r="AJ23" s="135" t="e">
        <f t="shared" si="99"/>
        <v>#DIV/0!</v>
      </c>
      <c r="AK23" s="135" t="e">
        <f t="shared" si="99"/>
        <v>#DIV/0!</v>
      </c>
      <c r="AL23" s="135" t="e">
        <f t="shared" si="99"/>
        <v>#DIV/0!</v>
      </c>
      <c r="AM23" s="135" t="e">
        <f t="shared" si="99"/>
        <v>#DIV/0!</v>
      </c>
      <c r="AN23" s="135" t="e">
        <f t="shared" si="99"/>
        <v>#DIV/0!</v>
      </c>
      <c r="AO23" s="135" t="e">
        <f t="shared" si="99"/>
        <v>#DIV/0!</v>
      </c>
      <c r="AP23" s="135" t="e">
        <f t="shared" si="99"/>
        <v>#DIV/0!</v>
      </c>
      <c r="AQ23" s="135" t="e">
        <f t="shared" si="99"/>
        <v>#DIV/0!</v>
      </c>
      <c r="AR23" s="135" t="e">
        <f t="shared" si="99"/>
        <v>#DIV/0!</v>
      </c>
      <c r="AS23" s="4" t="e">
        <f t="shared" si="66"/>
        <v>#DIV/0!</v>
      </c>
      <c r="AT23" s="135" t="e">
        <f t="shared" si="99"/>
        <v>#DIV/0!</v>
      </c>
      <c r="AU23" s="4" t="e">
        <f t="shared" si="67"/>
        <v>#DIV/0!</v>
      </c>
      <c r="AV23" s="135" t="e">
        <f t="shared" si="99"/>
        <v>#DIV/0!</v>
      </c>
      <c r="AW23" s="135" t="e">
        <f t="shared" si="99"/>
        <v>#DIV/0!</v>
      </c>
      <c r="AX23" s="4" t="e">
        <f t="shared" si="68"/>
        <v>#DIV/0!</v>
      </c>
      <c r="AY23" s="135" t="e">
        <f t="shared" si="99"/>
        <v>#DIV/0!</v>
      </c>
      <c r="AZ23" s="135" t="e">
        <f t="shared" si="99"/>
        <v>#DIV/0!</v>
      </c>
      <c r="BA23" s="135" t="e">
        <f t="shared" si="99"/>
        <v>#DIV/0!</v>
      </c>
      <c r="BB23" s="135" t="e">
        <f t="shared" si="99"/>
        <v>#DIV/0!</v>
      </c>
      <c r="BC23" s="135" t="e">
        <f t="shared" si="99"/>
        <v>#DIV/0!</v>
      </c>
      <c r="BD23" s="135" t="e">
        <f t="shared" si="99"/>
        <v>#DIV/0!</v>
      </c>
      <c r="BE23" s="135" t="e">
        <f t="shared" si="99"/>
        <v>#DIV/0!</v>
      </c>
      <c r="BF23" s="41" t="e">
        <f t="shared" si="69"/>
        <v>#DIV/0!</v>
      </c>
      <c r="BG23" s="135" t="e">
        <f t="shared" si="99"/>
        <v>#DIV/0!</v>
      </c>
      <c r="BH23" s="135" t="e">
        <f t="shared" si="99"/>
        <v>#DIV/0!</v>
      </c>
      <c r="BI23" s="135" t="e">
        <f t="shared" si="99"/>
        <v>#DIV/0!</v>
      </c>
      <c r="BJ23" s="135" t="e">
        <f t="shared" si="99"/>
        <v>#DIV/0!</v>
      </c>
      <c r="BK23" s="135" t="e">
        <f t="shared" si="99"/>
        <v>#DIV/0!</v>
      </c>
      <c r="BL23" s="135" t="e">
        <f t="shared" si="99"/>
        <v>#DIV/0!</v>
      </c>
      <c r="BM23" s="135" t="e">
        <f t="shared" si="99"/>
        <v>#DIV/0!</v>
      </c>
      <c r="BN23" s="135" t="e">
        <f t="shared" si="99"/>
        <v>#DIV/0!</v>
      </c>
      <c r="BO23" s="41" t="e">
        <f t="shared" si="70"/>
        <v>#DIV/0!</v>
      </c>
      <c r="BP23" s="135" t="e">
        <f t="shared" si="99"/>
        <v>#DIV/0!</v>
      </c>
      <c r="BQ23" s="135" t="e">
        <f t="shared" si="99"/>
        <v>#DIV/0!</v>
      </c>
      <c r="BR23" s="135" t="e">
        <f t="shared" si="99"/>
        <v>#DIV/0!</v>
      </c>
      <c r="BS23" s="41" t="e">
        <f t="shared" si="71"/>
        <v>#DIV/0!</v>
      </c>
      <c r="BT23" s="135" t="e">
        <f t="shared" si="99"/>
        <v>#DIV/0!</v>
      </c>
      <c r="BU23" s="135" t="e">
        <f t="shared" si="99"/>
        <v>#DIV/0!</v>
      </c>
      <c r="BV23" s="135" t="e">
        <f aca="true" t="shared" si="100" ref="BV23:CA23">(BV43/($B$12+$B$14+$B$23)*$B$23)</f>
        <v>#DIV/0!</v>
      </c>
      <c r="BW23" s="135" t="e">
        <f t="shared" si="100"/>
        <v>#DIV/0!</v>
      </c>
      <c r="BX23" s="4" t="e">
        <f t="shared" si="72"/>
        <v>#DIV/0!</v>
      </c>
      <c r="BY23" s="135" t="e">
        <f t="shared" si="100"/>
        <v>#DIV/0!</v>
      </c>
      <c r="BZ23" s="135" t="e">
        <f t="shared" si="100"/>
        <v>#DIV/0!</v>
      </c>
      <c r="CA23" s="135" t="e">
        <f t="shared" si="100"/>
        <v>#DIV/0!</v>
      </c>
      <c r="CB23" s="4" t="e">
        <f t="shared" si="73"/>
        <v>#DIV/0!</v>
      </c>
      <c r="CC23" s="4" t="e">
        <f t="shared" si="74"/>
        <v>#DIV/0!</v>
      </c>
      <c r="CD23" s="70" t="e">
        <f t="shared" si="75"/>
        <v>#DIV/0!</v>
      </c>
      <c r="CE23" s="72" t="e">
        <f t="shared" si="76"/>
        <v>#DIV/0!</v>
      </c>
      <c r="CF23" s="72" t="e">
        <f t="shared" si="77"/>
        <v>#DIV/0!</v>
      </c>
      <c r="CG23" s="72" t="e">
        <f t="shared" si="35"/>
        <v>#DIV/0!</v>
      </c>
      <c r="CH23" s="72" t="e">
        <f t="shared" si="78"/>
        <v>#DIV/0!</v>
      </c>
      <c r="CI23" s="35" t="e">
        <f t="shared" si="79"/>
        <v>#DIV/0!</v>
      </c>
      <c r="CJ23" s="57" t="e">
        <f t="shared" si="36"/>
        <v>#DIV/0!</v>
      </c>
      <c r="CK23" s="57" t="e">
        <f t="shared" si="37"/>
        <v>#DIV/0!</v>
      </c>
      <c r="CL23" s="148" t="e">
        <f t="shared" si="38"/>
        <v>#DIV/0!</v>
      </c>
      <c r="CM23" s="148" t="e">
        <f t="shared" si="39"/>
        <v>#DIV/0!</v>
      </c>
      <c r="CN23" s="148" t="e">
        <f t="shared" si="40"/>
        <v>#DIV/0!</v>
      </c>
      <c r="CO23" s="148" t="e">
        <f t="shared" si="41"/>
        <v>#DIV/0!</v>
      </c>
      <c r="CP23" s="148" t="e">
        <f t="shared" si="42"/>
        <v>#DIV/0!</v>
      </c>
      <c r="CQ23" s="148" t="e">
        <f t="shared" si="43"/>
        <v>#DIV/0!</v>
      </c>
      <c r="CR23" s="149" t="e">
        <f t="shared" si="44"/>
        <v>#DIV/0!</v>
      </c>
      <c r="CS23" s="72" t="e">
        <f t="shared" si="45"/>
        <v>#DIV/0!</v>
      </c>
      <c r="CT23" s="76" t="e">
        <f t="shared" si="80"/>
        <v>#DIV/0!</v>
      </c>
      <c r="CU23" s="76" t="e">
        <f t="shared" si="81"/>
        <v>#DIV/0!</v>
      </c>
      <c r="CV23" s="76" t="e">
        <f t="shared" si="82"/>
        <v>#DIV/0!</v>
      </c>
      <c r="CW23" s="76" t="e">
        <f t="shared" si="83"/>
        <v>#DIV/0!</v>
      </c>
      <c r="CX23" s="76" t="e">
        <f t="shared" si="84"/>
        <v>#DIV/0!</v>
      </c>
      <c r="CY23" s="76" t="e">
        <f t="shared" si="85"/>
        <v>#DIV/0!</v>
      </c>
      <c r="CZ23" s="76" t="e">
        <f t="shared" si="86"/>
        <v>#DIV/0!</v>
      </c>
      <c r="DA23" s="76" t="e">
        <f t="shared" si="87"/>
        <v>#DIV/0!</v>
      </c>
      <c r="DB23" s="76" t="e">
        <f t="shared" si="88"/>
        <v>#DIV/0!</v>
      </c>
      <c r="DC23" s="76" t="e">
        <f t="shared" si="89"/>
        <v>#DIV/0!</v>
      </c>
      <c r="DD23" s="76" t="e">
        <f t="shared" si="90"/>
        <v>#DIV/0!</v>
      </c>
      <c r="DE23" s="76" t="e">
        <f t="shared" si="91"/>
        <v>#DIV/0!</v>
      </c>
      <c r="DF23" s="76" t="e">
        <f t="shared" si="92"/>
        <v>#DIV/0!</v>
      </c>
      <c r="DG23" s="76" t="e">
        <f t="shared" si="93"/>
        <v>#DIV/0!</v>
      </c>
      <c r="DH23" s="76" t="e">
        <f t="shared" si="94"/>
        <v>#DIV/0!</v>
      </c>
      <c r="DI23" s="77" t="e">
        <f t="shared" si="95"/>
        <v>#DIV/0!</v>
      </c>
      <c r="DJ23" s="72" t="e">
        <f t="shared" si="96"/>
        <v>#DIV/0!</v>
      </c>
      <c r="DK23" s="151" t="e">
        <f t="shared" si="46"/>
        <v>#DIV/0!</v>
      </c>
      <c r="DL23" s="72">
        <v>0</v>
      </c>
      <c r="DM23" s="72">
        <v>0</v>
      </c>
      <c r="DN23" s="63">
        <v>0</v>
      </c>
    </row>
    <row r="24" spans="1:118" ht="12.75">
      <c r="A24" s="49" t="s">
        <v>16</v>
      </c>
      <c r="B24" s="40"/>
      <c r="C24" s="36"/>
      <c r="D24" s="64"/>
      <c r="E24" s="64"/>
      <c r="F24" s="124">
        <v>14</v>
      </c>
      <c r="G24" s="13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1">
        <f t="shared" si="0"/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1">
        <f t="shared" si="63"/>
        <v>0</v>
      </c>
      <c r="X24" s="40">
        <v>0</v>
      </c>
      <c r="Y24" s="41">
        <f t="shared" si="64"/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1">
        <f t="shared" si="65"/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4">
        <f t="shared" si="66"/>
        <v>0</v>
      </c>
      <c r="AT24" s="36">
        <v>0</v>
      </c>
      <c r="AU24" s="4">
        <f t="shared" si="67"/>
        <v>0</v>
      </c>
      <c r="AV24" s="36">
        <v>0</v>
      </c>
      <c r="AW24" s="36">
        <v>0</v>
      </c>
      <c r="AX24" s="4">
        <f t="shared" si="68"/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1">
        <f t="shared" si="69"/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1">
        <f t="shared" si="70"/>
        <v>0</v>
      </c>
      <c r="BP24" s="40">
        <v>0</v>
      </c>
      <c r="BQ24" s="40">
        <v>0</v>
      </c>
      <c r="BR24" s="40">
        <v>0</v>
      </c>
      <c r="BS24" s="41">
        <f t="shared" si="71"/>
        <v>0</v>
      </c>
      <c r="BT24" s="36">
        <v>0</v>
      </c>
      <c r="BU24" s="36">
        <v>0</v>
      </c>
      <c r="BV24" s="36">
        <v>0</v>
      </c>
      <c r="BW24" s="36">
        <v>0</v>
      </c>
      <c r="BX24" s="4">
        <f t="shared" si="72"/>
        <v>0</v>
      </c>
      <c r="BY24" s="36">
        <v>0</v>
      </c>
      <c r="BZ24" s="36">
        <v>0</v>
      </c>
      <c r="CA24" s="36">
        <v>0</v>
      </c>
      <c r="CB24" s="4">
        <f t="shared" si="73"/>
        <v>0</v>
      </c>
      <c r="CC24" s="4">
        <f t="shared" si="74"/>
        <v>0</v>
      </c>
      <c r="CD24" s="70">
        <f t="shared" si="75"/>
        <v>0</v>
      </c>
      <c r="CE24" s="72">
        <f t="shared" si="76"/>
        <v>0</v>
      </c>
      <c r="CF24" s="72">
        <f t="shared" si="77"/>
        <v>0</v>
      </c>
      <c r="CG24" s="72">
        <f t="shared" si="35"/>
        <v>0</v>
      </c>
      <c r="CH24" s="72">
        <f t="shared" si="78"/>
        <v>0</v>
      </c>
      <c r="CI24" s="35">
        <f t="shared" si="79"/>
        <v>0</v>
      </c>
      <c r="CJ24" s="57" t="str">
        <f t="shared" si="36"/>
        <v>-</v>
      </c>
      <c r="CK24" s="57" t="str">
        <f t="shared" si="37"/>
        <v>-</v>
      </c>
      <c r="CL24" s="148" t="str">
        <f t="shared" si="38"/>
        <v>-</v>
      </c>
      <c r="CM24" s="148" t="str">
        <f t="shared" si="39"/>
        <v>-</v>
      </c>
      <c r="CN24" s="148" t="str">
        <f t="shared" si="40"/>
        <v>-</v>
      </c>
      <c r="CO24" s="148" t="str">
        <f t="shared" si="41"/>
        <v>-</v>
      </c>
      <c r="CP24" s="148" t="str">
        <f t="shared" si="42"/>
        <v>-</v>
      </c>
      <c r="CQ24" s="148" t="str">
        <f t="shared" si="43"/>
        <v>-</v>
      </c>
      <c r="CR24" s="149" t="str">
        <f t="shared" si="44"/>
        <v>-</v>
      </c>
      <c r="CS24" s="72">
        <f t="shared" si="45"/>
        <v>0</v>
      </c>
      <c r="CT24" s="76">
        <f t="shared" si="80"/>
        <v>0</v>
      </c>
      <c r="CU24" s="76">
        <f t="shared" si="81"/>
        <v>0</v>
      </c>
      <c r="CV24" s="76">
        <f t="shared" si="82"/>
        <v>0</v>
      </c>
      <c r="CW24" s="76">
        <f t="shared" si="83"/>
        <v>0</v>
      </c>
      <c r="CX24" s="76">
        <f t="shared" si="84"/>
        <v>0</v>
      </c>
      <c r="CY24" s="76">
        <f t="shared" si="85"/>
        <v>0</v>
      </c>
      <c r="CZ24" s="76">
        <f t="shared" si="86"/>
        <v>0</v>
      </c>
      <c r="DA24" s="76">
        <f t="shared" si="87"/>
        <v>0</v>
      </c>
      <c r="DB24" s="76">
        <f t="shared" si="88"/>
        <v>0</v>
      </c>
      <c r="DC24" s="76">
        <f t="shared" si="89"/>
        <v>0</v>
      </c>
      <c r="DD24" s="76">
        <f t="shared" si="90"/>
        <v>0</v>
      </c>
      <c r="DE24" s="76">
        <f t="shared" si="91"/>
        <v>0</v>
      </c>
      <c r="DF24" s="76" t="e">
        <f t="shared" si="92"/>
        <v>#DIV/0!</v>
      </c>
      <c r="DG24" s="76" t="e">
        <f t="shared" si="93"/>
        <v>#DIV/0!</v>
      </c>
      <c r="DH24" s="76" t="e">
        <f t="shared" si="94"/>
        <v>#DIV/0!</v>
      </c>
      <c r="DI24" s="77" t="e">
        <f t="shared" si="95"/>
        <v>#DIV/0!</v>
      </c>
      <c r="DJ24" s="72" t="e">
        <f t="shared" si="96"/>
        <v>#DIV/0!</v>
      </c>
      <c r="DK24" s="151">
        <f t="shared" si="46"/>
        <v>0</v>
      </c>
      <c r="DL24" s="136">
        <v>0</v>
      </c>
      <c r="DM24" s="136">
        <v>0</v>
      </c>
      <c r="DN24" s="65">
        <v>0</v>
      </c>
    </row>
    <row r="25" spans="1:118" ht="12.75">
      <c r="A25" s="50" t="s">
        <v>36</v>
      </c>
      <c r="B25" s="41"/>
      <c r="C25" s="4"/>
      <c r="D25" s="66"/>
      <c r="E25" s="66"/>
      <c r="F25" s="8">
        <v>15</v>
      </c>
      <c r="G25" s="129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f t="shared" si="0"/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f t="shared" si="63"/>
        <v>0</v>
      </c>
      <c r="X25" s="41">
        <v>0</v>
      </c>
      <c r="Y25" s="41">
        <f t="shared" si="64"/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f t="shared" si="65"/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66"/>
        <v>0</v>
      </c>
      <c r="AT25" s="4">
        <v>0</v>
      </c>
      <c r="AU25" s="4">
        <f t="shared" si="67"/>
        <v>0</v>
      </c>
      <c r="AV25" s="4">
        <v>0</v>
      </c>
      <c r="AW25" s="4">
        <v>0</v>
      </c>
      <c r="AX25" s="4">
        <f t="shared" si="68"/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f t="shared" si="69"/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f t="shared" si="70"/>
        <v>0</v>
      </c>
      <c r="BP25" s="41">
        <v>0</v>
      </c>
      <c r="BQ25" s="41">
        <v>0</v>
      </c>
      <c r="BR25" s="41">
        <v>0</v>
      </c>
      <c r="BS25" s="41">
        <f t="shared" si="71"/>
        <v>0</v>
      </c>
      <c r="BT25" s="4">
        <v>0</v>
      </c>
      <c r="BU25" s="4">
        <v>0</v>
      </c>
      <c r="BV25" s="4">
        <v>0</v>
      </c>
      <c r="BW25" s="4">
        <v>0</v>
      </c>
      <c r="BX25" s="4">
        <f t="shared" si="72"/>
        <v>0</v>
      </c>
      <c r="BY25" s="4">
        <v>0</v>
      </c>
      <c r="BZ25" s="4">
        <v>0</v>
      </c>
      <c r="CA25" s="4">
        <v>0</v>
      </c>
      <c r="CB25" s="4">
        <f t="shared" si="73"/>
        <v>0</v>
      </c>
      <c r="CC25" s="4">
        <f t="shared" si="74"/>
        <v>0</v>
      </c>
      <c r="CD25" s="70">
        <f t="shared" si="75"/>
        <v>0</v>
      </c>
      <c r="CE25" s="72">
        <f t="shared" si="76"/>
        <v>0</v>
      </c>
      <c r="CF25" s="72">
        <f t="shared" si="77"/>
        <v>0</v>
      </c>
      <c r="CG25" s="72">
        <f t="shared" si="35"/>
        <v>0</v>
      </c>
      <c r="CH25" s="72">
        <f t="shared" si="78"/>
        <v>0</v>
      </c>
      <c r="CI25" s="35">
        <f t="shared" si="79"/>
        <v>0</v>
      </c>
      <c r="CJ25" s="57" t="str">
        <f t="shared" si="36"/>
        <v>-</v>
      </c>
      <c r="CK25" s="57" t="str">
        <f t="shared" si="37"/>
        <v>-</v>
      </c>
      <c r="CL25" s="148" t="str">
        <f t="shared" si="38"/>
        <v>-</v>
      </c>
      <c r="CM25" s="148" t="str">
        <f t="shared" si="39"/>
        <v>-</v>
      </c>
      <c r="CN25" s="148" t="str">
        <f t="shared" si="40"/>
        <v>-</v>
      </c>
      <c r="CO25" s="148" t="str">
        <f t="shared" si="41"/>
        <v>-</v>
      </c>
      <c r="CP25" s="148" t="str">
        <f t="shared" si="42"/>
        <v>-</v>
      </c>
      <c r="CQ25" s="148" t="str">
        <f t="shared" si="43"/>
        <v>-</v>
      </c>
      <c r="CR25" s="149" t="str">
        <f t="shared" si="44"/>
        <v>-</v>
      </c>
      <c r="CS25" s="72">
        <f t="shared" si="45"/>
        <v>0</v>
      </c>
      <c r="CT25" s="76">
        <f t="shared" si="80"/>
        <v>0</v>
      </c>
      <c r="CU25" s="76">
        <f t="shared" si="81"/>
        <v>0</v>
      </c>
      <c r="CV25" s="76">
        <f t="shared" si="82"/>
        <v>0</v>
      </c>
      <c r="CW25" s="76">
        <f t="shared" si="83"/>
        <v>0</v>
      </c>
      <c r="CX25" s="76">
        <f t="shared" si="84"/>
        <v>0</v>
      </c>
      <c r="CY25" s="76">
        <f t="shared" si="85"/>
        <v>0</v>
      </c>
      <c r="CZ25" s="76">
        <f t="shared" si="86"/>
        <v>0</v>
      </c>
      <c r="DA25" s="76">
        <f t="shared" si="87"/>
        <v>0</v>
      </c>
      <c r="DB25" s="76">
        <f t="shared" si="88"/>
        <v>0</v>
      </c>
      <c r="DC25" s="76">
        <f t="shared" si="89"/>
        <v>0</v>
      </c>
      <c r="DD25" s="76">
        <f t="shared" si="90"/>
        <v>0</v>
      </c>
      <c r="DE25" s="76">
        <f t="shared" si="91"/>
        <v>0</v>
      </c>
      <c r="DF25" s="76" t="e">
        <f t="shared" si="92"/>
        <v>#DIV/0!</v>
      </c>
      <c r="DG25" s="76" t="e">
        <f t="shared" si="93"/>
        <v>#DIV/0!</v>
      </c>
      <c r="DH25" s="76" t="e">
        <f t="shared" si="94"/>
        <v>#DIV/0!</v>
      </c>
      <c r="DI25" s="77" t="e">
        <f t="shared" si="95"/>
        <v>#DIV/0!</v>
      </c>
      <c r="DJ25" s="72" t="e">
        <f t="shared" si="96"/>
        <v>#DIV/0!</v>
      </c>
      <c r="DK25" s="151">
        <f t="shared" si="46"/>
        <v>0</v>
      </c>
      <c r="DL25" s="72">
        <v>0</v>
      </c>
      <c r="DM25" s="72">
        <v>0</v>
      </c>
      <c r="DN25" s="63">
        <v>0</v>
      </c>
    </row>
    <row r="26" spans="1:118" ht="12.75">
      <c r="A26" s="49" t="s">
        <v>17</v>
      </c>
      <c r="B26" s="40"/>
      <c r="C26" s="36"/>
      <c r="D26" s="64"/>
      <c r="E26" s="64"/>
      <c r="F26" s="124">
        <v>10</v>
      </c>
      <c r="G26" s="13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1">
        <f t="shared" si="0"/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1">
        <f t="shared" si="63"/>
        <v>0</v>
      </c>
      <c r="X26" s="40">
        <v>0</v>
      </c>
      <c r="Y26" s="41">
        <f t="shared" si="64"/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1">
        <f t="shared" si="65"/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4">
        <f t="shared" si="66"/>
        <v>0</v>
      </c>
      <c r="AT26" s="36">
        <v>0</v>
      </c>
      <c r="AU26" s="4">
        <f t="shared" si="67"/>
        <v>0</v>
      </c>
      <c r="AV26" s="36">
        <v>0</v>
      </c>
      <c r="AW26" s="36">
        <v>0</v>
      </c>
      <c r="AX26" s="4">
        <f t="shared" si="68"/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1">
        <f t="shared" si="69"/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1">
        <f t="shared" si="70"/>
        <v>0</v>
      </c>
      <c r="BP26" s="40">
        <v>0</v>
      </c>
      <c r="BQ26" s="40">
        <v>0</v>
      </c>
      <c r="BR26" s="40">
        <v>0</v>
      </c>
      <c r="BS26" s="41">
        <f t="shared" si="71"/>
        <v>0</v>
      </c>
      <c r="BT26" s="36">
        <v>0</v>
      </c>
      <c r="BU26" s="36">
        <v>0</v>
      </c>
      <c r="BV26" s="36">
        <v>0</v>
      </c>
      <c r="BW26" s="36">
        <v>0</v>
      </c>
      <c r="BX26" s="4">
        <f t="shared" si="72"/>
        <v>0</v>
      </c>
      <c r="BY26" s="36">
        <v>0</v>
      </c>
      <c r="BZ26" s="36">
        <v>0</v>
      </c>
      <c r="CA26" s="36">
        <v>0</v>
      </c>
      <c r="CB26" s="4">
        <f t="shared" si="73"/>
        <v>0</v>
      </c>
      <c r="CC26" s="4">
        <f t="shared" si="74"/>
        <v>0</v>
      </c>
      <c r="CD26" s="70">
        <f t="shared" si="75"/>
        <v>0</v>
      </c>
      <c r="CE26" s="72">
        <f t="shared" si="76"/>
        <v>0</v>
      </c>
      <c r="CF26" s="72">
        <f t="shared" si="77"/>
        <v>0</v>
      </c>
      <c r="CG26" s="72">
        <f t="shared" si="35"/>
        <v>0</v>
      </c>
      <c r="CH26" s="72">
        <f t="shared" si="78"/>
        <v>0</v>
      </c>
      <c r="CI26" s="35">
        <f t="shared" si="79"/>
        <v>0</v>
      </c>
      <c r="CJ26" s="57" t="str">
        <f t="shared" si="36"/>
        <v>-</v>
      </c>
      <c r="CK26" s="57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72">
        <f t="shared" si="45"/>
        <v>0</v>
      </c>
      <c r="CT26" s="76">
        <f t="shared" si="80"/>
        <v>0</v>
      </c>
      <c r="CU26" s="76">
        <f t="shared" si="81"/>
        <v>0</v>
      </c>
      <c r="CV26" s="76">
        <f t="shared" si="82"/>
        <v>0</v>
      </c>
      <c r="CW26" s="76">
        <f t="shared" si="83"/>
        <v>0</v>
      </c>
      <c r="CX26" s="76">
        <f t="shared" si="84"/>
        <v>0</v>
      </c>
      <c r="CY26" s="76">
        <f t="shared" si="85"/>
        <v>0</v>
      </c>
      <c r="CZ26" s="76">
        <f t="shared" si="86"/>
        <v>0</v>
      </c>
      <c r="DA26" s="76">
        <f t="shared" si="87"/>
        <v>0</v>
      </c>
      <c r="DB26" s="76">
        <f t="shared" si="88"/>
        <v>0</v>
      </c>
      <c r="DC26" s="76">
        <f t="shared" si="89"/>
        <v>0</v>
      </c>
      <c r="DD26" s="76">
        <f t="shared" si="90"/>
        <v>0</v>
      </c>
      <c r="DE26" s="76">
        <f t="shared" si="91"/>
        <v>0</v>
      </c>
      <c r="DF26" s="76" t="e">
        <f t="shared" si="92"/>
        <v>#DIV/0!</v>
      </c>
      <c r="DG26" s="76" t="e">
        <f t="shared" si="93"/>
        <v>#DIV/0!</v>
      </c>
      <c r="DH26" s="76" t="e">
        <f t="shared" si="94"/>
        <v>#DIV/0!</v>
      </c>
      <c r="DI26" s="77" t="e">
        <f t="shared" si="95"/>
        <v>#DIV/0!</v>
      </c>
      <c r="DJ26" s="72" t="e">
        <f t="shared" si="96"/>
        <v>#DIV/0!</v>
      </c>
      <c r="DK26" s="151">
        <f t="shared" si="46"/>
        <v>0</v>
      </c>
      <c r="DL26" s="136">
        <v>0</v>
      </c>
      <c r="DM26" s="136">
        <v>0</v>
      </c>
      <c r="DN26" s="65">
        <v>0</v>
      </c>
    </row>
    <row r="27" spans="1:118" ht="12.75">
      <c r="A27" s="50" t="s">
        <v>18</v>
      </c>
      <c r="B27" s="41"/>
      <c r="C27" s="4"/>
      <c r="D27" s="66"/>
      <c r="E27" s="66"/>
      <c r="F27" s="8">
        <v>14</v>
      </c>
      <c r="G27" s="129" t="e">
        <f>(G42/($B$11+$B$27)*$B$27)</f>
        <v>#DIV/0!</v>
      </c>
      <c r="H27" s="129" t="e">
        <f aca="true" t="shared" si="101" ref="H27:BU27">(H42/($B$11+$B$27)*$B$27)</f>
        <v>#DIV/0!</v>
      </c>
      <c r="I27" s="129" t="e">
        <f t="shared" si="101"/>
        <v>#DIV/0!</v>
      </c>
      <c r="J27" s="129" t="e">
        <f t="shared" si="101"/>
        <v>#DIV/0!</v>
      </c>
      <c r="K27" s="129" t="e">
        <f t="shared" si="101"/>
        <v>#DIV/0!</v>
      </c>
      <c r="L27" s="129" t="e">
        <f t="shared" si="101"/>
        <v>#DIV/0!</v>
      </c>
      <c r="M27" s="41" t="e">
        <f t="shared" si="0"/>
        <v>#DIV/0!</v>
      </c>
      <c r="N27" s="129" t="e">
        <f t="shared" si="101"/>
        <v>#DIV/0!</v>
      </c>
      <c r="O27" s="129" t="e">
        <f t="shared" si="101"/>
        <v>#DIV/0!</v>
      </c>
      <c r="P27" s="129" t="e">
        <f t="shared" si="101"/>
        <v>#DIV/0!</v>
      </c>
      <c r="Q27" s="129" t="e">
        <f t="shared" si="101"/>
        <v>#DIV/0!</v>
      </c>
      <c r="R27" s="129" t="e">
        <f t="shared" si="101"/>
        <v>#DIV/0!</v>
      </c>
      <c r="S27" s="129" t="e">
        <f t="shared" si="101"/>
        <v>#DIV/0!</v>
      </c>
      <c r="T27" s="129" t="e">
        <f t="shared" si="101"/>
        <v>#DIV/0!</v>
      </c>
      <c r="U27" s="129" t="e">
        <f t="shared" si="101"/>
        <v>#DIV/0!</v>
      </c>
      <c r="V27" s="129" t="e">
        <f t="shared" si="101"/>
        <v>#DIV/0!</v>
      </c>
      <c r="W27" s="41" t="e">
        <f t="shared" si="63"/>
        <v>#DIV/0!</v>
      </c>
      <c r="X27" s="129" t="e">
        <f t="shared" si="101"/>
        <v>#DIV/0!</v>
      </c>
      <c r="Y27" s="41" t="e">
        <f t="shared" si="64"/>
        <v>#DIV/0!</v>
      </c>
      <c r="Z27" s="129" t="e">
        <f t="shared" si="101"/>
        <v>#DIV/0!</v>
      </c>
      <c r="AA27" s="129" t="e">
        <f t="shared" si="101"/>
        <v>#DIV/0!</v>
      </c>
      <c r="AB27" s="129" t="e">
        <f t="shared" si="101"/>
        <v>#DIV/0!</v>
      </c>
      <c r="AC27" s="129" t="e">
        <f t="shared" si="101"/>
        <v>#DIV/0!</v>
      </c>
      <c r="AD27" s="129" t="e">
        <f t="shared" si="101"/>
        <v>#DIV/0!</v>
      </c>
      <c r="AE27" s="41" t="e">
        <f t="shared" si="65"/>
        <v>#DIV/0!</v>
      </c>
      <c r="AF27" s="129" t="e">
        <f t="shared" si="101"/>
        <v>#DIV/0!</v>
      </c>
      <c r="AG27" s="129" t="e">
        <f t="shared" si="101"/>
        <v>#DIV/0!</v>
      </c>
      <c r="AH27" s="129" t="e">
        <f t="shared" si="101"/>
        <v>#DIV/0!</v>
      </c>
      <c r="AI27" s="129" t="e">
        <f t="shared" si="101"/>
        <v>#DIV/0!</v>
      </c>
      <c r="AJ27" s="129" t="e">
        <f t="shared" si="101"/>
        <v>#DIV/0!</v>
      </c>
      <c r="AK27" s="129" t="e">
        <f t="shared" si="101"/>
        <v>#DIV/0!</v>
      </c>
      <c r="AL27" s="129" t="e">
        <f t="shared" si="101"/>
        <v>#DIV/0!</v>
      </c>
      <c r="AM27" s="129" t="e">
        <f t="shared" si="101"/>
        <v>#DIV/0!</v>
      </c>
      <c r="AN27" s="129" t="e">
        <f t="shared" si="101"/>
        <v>#DIV/0!</v>
      </c>
      <c r="AO27" s="129" t="e">
        <f t="shared" si="101"/>
        <v>#DIV/0!</v>
      </c>
      <c r="AP27" s="129" t="e">
        <f t="shared" si="101"/>
        <v>#DIV/0!</v>
      </c>
      <c r="AQ27" s="129" t="e">
        <f t="shared" si="101"/>
        <v>#DIV/0!</v>
      </c>
      <c r="AR27" s="129" t="e">
        <f t="shared" si="101"/>
        <v>#DIV/0!</v>
      </c>
      <c r="AS27" s="4" t="e">
        <f t="shared" si="66"/>
        <v>#DIV/0!</v>
      </c>
      <c r="AT27" s="129" t="e">
        <f t="shared" si="101"/>
        <v>#DIV/0!</v>
      </c>
      <c r="AU27" s="4" t="e">
        <f t="shared" si="67"/>
        <v>#DIV/0!</v>
      </c>
      <c r="AV27" s="129" t="e">
        <f t="shared" si="101"/>
        <v>#DIV/0!</v>
      </c>
      <c r="AW27" s="129" t="e">
        <f t="shared" si="101"/>
        <v>#DIV/0!</v>
      </c>
      <c r="AX27" s="4" t="e">
        <f t="shared" si="68"/>
        <v>#DIV/0!</v>
      </c>
      <c r="AY27" s="129" t="e">
        <f t="shared" si="101"/>
        <v>#DIV/0!</v>
      </c>
      <c r="AZ27" s="129" t="e">
        <f t="shared" si="101"/>
        <v>#DIV/0!</v>
      </c>
      <c r="BA27" s="129" t="e">
        <f t="shared" si="101"/>
        <v>#DIV/0!</v>
      </c>
      <c r="BB27" s="129" t="e">
        <f t="shared" si="101"/>
        <v>#DIV/0!</v>
      </c>
      <c r="BC27" s="129" t="e">
        <f t="shared" si="101"/>
        <v>#DIV/0!</v>
      </c>
      <c r="BD27" s="129" t="e">
        <f t="shared" si="101"/>
        <v>#DIV/0!</v>
      </c>
      <c r="BE27" s="129" t="e">
        <f t="shared" si="101"/>
        <v>#DIV/0!</v>
      </c>
      <c r="BF27" s="41" t="e">
        <f t="shared" si="69"/>
        <v>#DIV/0!</v>
      </c>
      <c r="BG27" s="129" t="e">
        <f t="shared" si="101"/>
        <v>#DIV/0!</v>
      </c>
      <c r="BH27" s="129" t="e">
        <f t="shared" si="101"/>
        <v>#DIV/0!</v>
      </c>
      <c r="BI27" s="129" t="e">
        <f t="shared" si="101"/>
        <v>#DIV/0!</v>
      </c>
      <c r="BJ27" s="129" t="e">
        <f t="shared" si="101"/>
        <v>#DIV/0!</v>
      </c>
      <c r="BK27" s="129" t="e">
        <f t="shared" si="101"/>
        <v>#DIV/0!</v>
      </c>
      <c r="BL27" s="129" t="e">
        <f t="shared" si="101"/>
        <v>#DIV/0!</v>
      </c>
      <c r="BM27" s="129" t="e">
        <f t="shared" si="101"/>
        <v>#DIV/0!</v>
      </c>
      <c r="BN27" s="129" t="e">
        <f t="shared" si="101"/>
        <v>#DIV/0!</v>
      </c>
      <c r="BO27" s="41" t="e">
        <f t="shared" si="70"/>
        <v>#DIV/0!</v>
      </c>
      <c r="BP27" s="129" t="e">
        <f t="shared" si="101"/>
        <v>#DIV/0!</v>
      </c>
      <c r="BQ27" s="129" t="e">
        <f t="shared" si="101"/>
        <v>#DIV/0!</v>
      </c>
      <c r="BR27" s="129" t="e">
        <f t="shared" si="101"/>
        <v>#DIV/0!</v>
      </c>
      <c r="BS27" s="41" t="e">
        <f t="shared" si="71"/>
        <v>#DIV/0!</v>
      </c>
      <c r="BT27" s="129" t="e">
        <f t="shared" si="101"/>
        <v>#DIV/0!</v>
      </c>
      <c r="BU27" s="129" t="e">
        <f t="shared" si="101"/>
        <v>#DIV/0!</v>
      </c>
      <c r="BV27" s="129" t="e">
        <f aca="true" t="shared" si="102" ref="BV27:CA27">(BV42/($B$11+$B$27)*$B$27)</f>
        <v>#DIV/0!</v>
      </c>
      <c r="BW27" s="129" t="e">
        <f t="shared" si="102"/>
        <v>#DIV/0!</v>
      </c>
      <c r="BX27" s="4" t="e">
        <f t="shared" si="72"/>
        <v>#DIV/0!</v>
      </c>
      <c r="BY27" s="129" t="e">
        <f t="shared" si="102"/>
        <v>#DIV/0!</v>
      </c>
      <c r="BZ27" s="129" t="e">
        <f t="shared" si="102"/>
        <v>#DIV/0!</v>
      </c>
      <c r="CA27" s="129" t="e">
        <f t="shared" si="102"/>
        <v>#DIV/0!</v>
      </c>
      <c r="CB27" s="4" t="e">
        <f t="shared" si="73"/>
        <v>#DIV/0!</v>
      </c>
      <c r="CC27" s="4" t="e">
        <f t="shared" si="74"/>
        <v>#DIV/0!</v>
      </c>
      <c r="CD27" s="70" t="e">
        <f t="shared" si="75"/>
        <v>#DIV/0!</v>
      </c>
      <c r="CE27" s="72" t="e">
        <f t="shared" si="76"/>
        <v>#DIV/0!</v>
      </c>
      <c r="CF27" s="72" t="e">
        <f t="shared" si="77"/>
        <v>#DIV/0!</v>
      </c>
      <c r="CG27" s="72" t="e">
        <f t="shared" si="35"/>
        <v>#DIV/0!</v>
      </c>
      <c r="CH27" s="72" t="e">
        <f t="shared" si="78"/>
        <v>#DIV/0!</v>
      </c>
      <c r="CI27" s="35" t="e">
        <f t="shared" si="79"/>
        <v>#DIV/0!</v>
      </c>
      <c r="CJ27" s="57" t="e">
        <f t="shared" si="36"/>
        <v>#DIV/0!</v>
      </c>
      <c r="CK27" s="57" t="e">
        <f t="shared" si="37"/>
        <v>#DIV/0!</v>
      </c>
      <c r="CL27" s="148" t="e">
        <f t="shared" si="38"/>
        <v>#DIV/0!</v>
      </c>
      <c r="CM27" s="148" t="e">
        <f t="shared" si="39"/>
        <v>#DIV/0!</v>
      </c>
      <c r="CN27" s="148" t="e">
        <f t="shared" si="40"/>
        <v>#DIV/0!</v>
      </c>
      <c r="CO27" s="148" t="e">
        <f t="shared" si="41"/>
        <v>#DIV/0!</v>
      </c>
      <c r="CP27" s="148" t="e">
        <f t="shared" si="42"/>
        <v>#DIV/0!</v>
      </c>
      <c r="CQ27" s="148" t="e">
        <f t="shared" si="43"/>
        <v>#DIV/0!</v>
      </c>
      <c r="CR27" s="149" t="e">
        <f t="shared" si="44"/>
        <v>#DIV/0!</v>
      </c>
      <c r="CS27" s="72" t="e">
        <f t="shared" si="45"/>
        <v>#DIV/0!</v>
      </c>
      <c r="CT27" s="76" t="e">
        <f t="shared" si="80"/>
        <v>#DIV/0!</v>
      </c>
      <c r="CU27" s="76" t="e">
        <f t="shared" si="81"/>
        <v>#DIV/0!</v>
      </c>
      <c r="CV27" s="76" t="e">
        <f t="shared" si="82"/>
        <v>#DIV/0!</v>
      </c>
      <c r="CW27" s="76" t="e">
        <f t="shared" si="83"/>
        <v>#DIV/0!</v>
      </c>
      <c r="CX27" s="76" t="e">
        <f t="shared" si="84"/>
        <v>#DIV/0!</v>
      </c>
      <c r="CY27" s="76" t="e">
        <f t="shared" si="85"/>
        <v>#DIV/0!</v>
      </c>
      <c r="CZ27" s="76" t="e">
        <f t="shared" si="86"/>
        <v>#DIV/0!</v>
      </c>
      <c r="DA27" s="76" t="e">
        <f t="shared" si="87"/>
        <v>#DIV/0!</v>
      </c>
      <c r="DB27" s="76" t="e">
        <f t="shared" si="88"/>
        <v>#DIV/0!</v>
      </c>
      <c r="DC27" s="76" t="e">
        <f t="shared" si="89"/>
        <v>#DIV/0!</v>
      </c>
      <c r="DD27" s="76" t="e">
        <f t="shared" si="90"/>
        <v>#DIV/0!</v>
      </c>
      <c r="DE27" s="76" t="e">
        <f t="shared" si="91"/>
        <v>#DIV/0!</v>
      </c>
      <c r="DF27" s="76" t="e">
        <f t="shared" si="92"/>
        <v>#DIV/0!</v>
      </c>
      <c r="DG27" s="76" t="e">
        <f t="shared" si="93"/>
        <v>#DIV/0!</v>
      </c>
      <c r="DH27" s="76" t="e">
        <f t="shared" si="94"/>
        <v>#DIV/0!</v>
      </c>
      <c r="DI27" s="77" t="e">
        <f t="shared" si="95"/>
        <v>#DIV/0!</v>
      </c>
      <c r="DJ27" s="72" t="e">
        <f t="shared" si="96"/>
        <v>#DIV/0!</v>
      </c>
      <c r="DK27" s="151" t="e">
        <f t="shared" si="46"/>
        <v>#DIV/0!</v>
      </c>
      <c r="DL27" s="72">
        <v>0</v>
      </c>
      <c r="DM27" s="72">
        <v>0</v>
      </c>
      <c r="DN27" s="63">
        <v>0</v>
      </c>
    </row>
    <row r="28" spans="1:118" ht="12.75">
      <c r="A28" s="49" t="s">
        <v>19</v>
      </c>
      <c r="B28" s="40"/>
      <c r="C28" s="36"/>
      <c r="D28" s="64"/>
      <c r="E28" s="64"/>
      <c r="F28" s="124">
        <v>11</v>
      </c>
      <c r="G28" s="13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1">
        <f t="shared" si="0"/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1">
        <f t="shared" si="63"/>
        <v>0</v>
      </c>
      <c r="X28" s="40">
        <v>0</v>
      </c>
      <c r="Y28" s="41">
        <f t="shared" si="64"/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1">
        <f t="shared" si="65"/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4">
        <f t="shared" si="66"/>
        <v>0</v>
      </c>
      <c r="AT28" s="36">
        <v>0</v>
      </c>
      <c r="AU28" s="4">
        <f t="shared" si="67"/>
        <v>0</v>
      </c>
      <c r="AV28" s="36">
        <v>0</v>
      </c>
      <c r="AW28" s="36">
        <v>0</v>
      </c>
      <c r="AX28" s="4">
        <f t="shared" si="68"/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1">
        <f t="shared" si="69"/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1">
        <f t="shared" si="70"/>
        <v>0</v>
      </c>
      <c r="BP28" s="40">
        <v>0</v>
      </c>
      <c r="BQ28" s="40">
        <v>0</v>
      </c>
      <c r="BR28" s="40">
        <v>0</v>
      </c>
      <c r="BS28" s="41">
        <f t="shared" si="71"/>
        <v>0</v>
      </c>
      <c r="BT28" s="36">
        <v>0</v>
      </c>
      <c r="BU28" s="36">
        <v>0</v>
      </c>
      <c r="BV28" s="36">
        <v>0</v>
      </c>
      <c r="BW28" s="36">
        <v>0</v>
      </c>
      <c r="BX28" s="4">
        <f t="shared" si="72"/>
        <v>0</v>
      </c>
      <c r="BY28" s="36">
        <v>0</v>
      </c>
      <c r="BZ28" s="36">
        <v>0</v>
      </c>
      <c r="CA28" s="36">
        <v>0</v>
      </c>
      <c r="CB28" s="4">
        <f t="shared" si="73"/>
        <v>0</v>
      </c>
      <c r="CC28" s="4">
        <f t="shared" si="74"/>
        <v>0</v>
      </c>
      <c r="CD28" s="70">
        <f t="shared" si="75"/>
        <v>0</v>
      </c>
      <c r="CE28" s="72">
        <f t="shared" si="76"/>
        <v>0</v>
      </c>
      <c r="CF28" s="72">
        <f t="shared" si="77"/>
        <v>0</v>
      </c>
      <c r="CG28" s="72">
        <f t="shared" si="35"/>
        <v>0</v>
      </c>
      <c r="CH28" s="72">
        <f t="shared" si="78"/>
        <v>0</v>
      </c>
      <c r="CI28" s="35">
        <f t="shared" si="79"/>
        <v>0</v>
      </c>
      <c r="CJ28" s="57" t="str">
        <f t="shared" si="36"/>
        <v>-</v>
      </c>
      <c r="CK28" s="57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72">
        <f t="shared" si="45"/>
        <v>0</v>
      </c>
      <c r="CT28" s="76">
        <f t="shared" si="80"/>
        <v>0</v>
      </c>
      <c r="CU28" s="76">
        <f t="shared" si="81"/>
        <v>0</v>
      </c>
      <c r="CV28" s="76">
        <f t="shared" si="82"/>
        <v>0</v>
      </c>
      <c r="CW28" s="76">
        <f t="shared" si="83"/>
        <v>0</v>
      </c>
      <c r="CX28" s="76">
        <f t="shared" si="84"/>
        <v>0</v>
      </c>
      <c r="CY28" s="76">
        <f t="shared" si="85"/>
        <v>0</v>
      </c>
      <c r="CZ28" s="76">
        <f t="shared" si="86"/>
        <v>0</v>
      </c>
      <c r="DA28" s="76">
        <f t="shared" si="87"/>
        <v>0</v>
      </c>
      <c r="DB28" s="76">
        <f t="shared" si="88"/>
        <v>0</v>
      </c>
      <c r="DC28" s="76">
        <f t="shared" si="89"/>
        <v>0</v>
      </c>
      <c r="DD28" s="76">
        <f t="shared" si="90"/>
        <v>0</v>
      </c>
      <c r="DE28" s="76">
        <f t="shared" si="91"/>
        <v>0</v>
      </c>
      <c r="DF28" s="76" t="e">
        <f t="shared" si="92"/>
        <v>#DIV/0!</v>
      </c>
      <c r="DG28" s="76" t="e">
        <f t="shared" si="93"/>
        <v>#DIV/0!</v>
      </c>
      <c r="DH28" s="76" t="e">
        <f t="shared" si="94"/>
        <v>#DIV/0!</v>
      </c>
      <c r="DI28" s="77" t="e">
        <f t="shared" si="95"/>
        <v>#DIV/0!</v>
      </c>
      <c r="DJ28" s="72" t="e">
        <f t="shared" si="96"/>
        <v>#DIV/0!</v>
      </c>
      <c r="DK28" s="151">
        <f t="shared" si="46"/>
        <v>0</v>
      </c>
      <c r="DL28" s="136">
        <v>0</v>
      </c>
      <c r="DM28" s="136">
        <v>0</v>
      </c>
      <c r="DN28" s="65">
        <v>0</v>
      </c>
    </row>
    <row r="29" spans="1:118" ht="12.75">
      <c r="A29" s="50" t="s">
        <v>21</v>
      </c>
      <c r="B29" s="41"/>
      <c r="C29" s="4"/>
      <c r="D29" s="66"/>
      <c r="E29" s="66"/>
      <c r="F29" s="8">
        <v>15</v>
      </c>
      <c r="G29" s="129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f t="shared" si="0"/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f t="shared" si="63"/>
        <v>0</v>
      </c>
      <c r="X29" s="41">
        <v>0</v>
      </c>
      <c r="Y29" s="41">
        <f t="shared" si="64"/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f t="shared" si="65"/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66"/>
        <v>0</v>
      </c>
      <c r="AT29" s="4">
        <v>0</v>
      </c>
      <c r="AU29" s="4">
        <f t="shared" si="67"/>
        <v>0</v>
      </c>
      <c r="AV29" s="4">
        <v>0</v>
      </c>
      <c r="AW29" s="4">
        <v>0</v>
      </c>
      <c r="AX29" s="4">
        <f t="shared" si="68"/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f t="shared" si="69"/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f t="shared" si="70"/>
        <v>0</v>
      </c>
      <c r="BP29" s="41">
        <v>0</v>
      </c>
      <c r="BQ29" s="41">
        <v>0</v>
      </c>
      <c r="BR29" s="41">
        <v>0</v>
      </c>
      <c r="BS29" s="41">
        <f t="shared" si="71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72"/>
        <v>0</v>
      </c>
      <c r="BY29" s="4">
        <v>0</v>
      </c>
      <c r="BZ29" s="4">
        <v>0</v>
      </c>
      <c r="CA29" s="4">
        <v>0</v>
      </c>
      <c r="CB29" s="4">
        <f t="shared" si="73"/>
        <v>0</v>
      </c>
      <c r="CC29" s="4">
        <f t="shared" si="74"/>
        <v>0</v>
      </c>
      <c r="CD29" s="70">
        <f t="shared" si="75"/>
        <v>0</v>
      </c>
      <c r="CE29" s="72">
        <f t="shared" si="76"/>
        <v>0</v>
      </c>
      <c r="CF29" s="72">
        <f t="shared" si="77"/>
        <v>0</v>
      </c>
      <c r="CG29" s="72">
        <f t="shared" si="35"/>
        <v>0</v>
      </c>
      <c r="CH29" s="72">
        <f t="shared" si="78"/>
        <v>0</v>
      </c>
      <c r="CI29" s="35">
        <f t="shared" si="79"/>
        <v>0</v>
      </c>
      <c r="CJ29" s="57" t="str">
        <f t="shared" si="36"/>
        <v>-</v>
      </c>
      <c r="CK29" s="57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72">
        <f t="shared" si="45"/>
        <v>0</v>
      </c>
      <c r="CT29" s="76">
        <f t="shared" si="80"/>
        <v>0</v>
      </c>
      <c r="CU29" s="76">
        <f t="shared" si="81"/>
        <v>0</v>
      </c>
      <c r="CV29" s="76">
        <f t="shared" si="82"/>
        <v>0</v>
      </c>
      <c r="CW29" s="76">
        <f t="shared" si="83"/>
        <v>0</v>
      </c>
      <c r="CX29" s="76">
        <f t="shared" si="84"/>
        <v>0</v>
      </c>
      <c r="CY29" s="76">
        <f t="shared" si="85"/>
        <v>0</v>
      </c>
      <c r="CZ29" s="76">
        <f t="shared" si="86"/>
        <v>0</v>
      </c>
      <c r="DA29" s="76">
        <f t="shared" si="87"/>
        <v>0</v>
      </c>
      <c r="DB29" s="76">
        <f t="shared" si="88"/>
        <v>0</v>
      </c>
      <c r="DC29" s="76">
        <f t="shared" si="89"/>
        <v>0</v>
      </c>
      <c r="DD29" s="76">
        <f t="shared" si="90"/>
        <v>0</v>
      </c>
      <c r="DE29" s="76">
        <f t="shared" si="91"/>
        <v>0</v>
      </c>
      <c r="DF29" s="76" t="e">
        <f t="shared" si="92"/>
        <v>#DIV/0!</v>
      </c>
      <c r="DG29" s="76" t="e">
        <f t="shared" si="93"/>
        <v>#DIV/0!</v>
      </c>
      <c r="DH29" s="76" t="e">
        <f t="shared" si="94"/>
        <v>#DIV/0!</v>
      </c>
      <c r="DI29" s="77" t="e">
        <f t="shared" si="95"/>
        <v>#DIV/0!</v>
      </c>
      <c r="DJ29" s="72" t="e">
        <f t="shared" si="96"/>
        <v>#DIV/0!</v>
      </c>
      <c r="DK29" s="151">
        <f t="shared" si="46"/>
        <v>0</v>
      </c>
      <c r="DL29" s="72">
        <v>0</v>
      </c>
      <c r="DM29" s="72">
        <v>0</v>
      </c>
      <c r="DN29" s="63">
        <v>0</v>
      </c>
    </row>
    <row r="30" spans="1:118" ht="12.75">
      <c r="A30" s="49" t="s">
        <v>31</v>
      </c>
      <c r="B30" s="40"/>
      <c r="C30" s="36"/>
      <c r="D30" s="64"/>
      <c r="E30" s="64"/>
      <c r="F30" s="124">
        <v>14</v>
      </c>
      <c r="G30" s="13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1">
        <f t="shared" si="0"/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1">
        <f t="shared" si="63"/>
        <v>0</v>
      </c>
      <c r="X30" s="40">
        <v>0</v>
      </c>
      <c r="Y30" s="41">
        <f t="shared" si="64"/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1">
        <f t="shared" si="65"/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4">
        <f t="shared" si="66"/>
        <v>0</v>
      </c>
      <c r="AT30" s="36">
        <v>0</v>
      </c>
      <c r="AU30" s="4">
        <f t="shared" si="67"/>
        <v>0</v>
      </c>
      <c r="AV30" s="36">
        <v>0</v>
      </c>
      <c r="AW30" s="36">
        <v>0</v>
      </c>
      <c r="AX30" s="4">
        <f t="shared" si="68"/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1">
        <f t="shared" si="69"/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1">
        <f t="shared" si="70"/>
        <v>0</v>
      </c>
      <c r="BP30" s="40">
        <v>0</v>
      </c>
      <c r="BQ30" s="40">
        <v>0</v>
      </c>
      <c r="BR30" s="40">
        <v>0</v>
      </c>
      <c r="BS30" s="41">
        <f t="shared" si="71"/>
        <v>0</v>
      </c>
      <c r="BT30" s="36">
        <v>0</v>
      </c>
      <c r="BU30" s="36">
        <v>0</v>
      </c>
      <c r="BV30" s="36">
        <v>0</v>
      </c>
      <c r="BW30" s="36">
        <v>0</v>
      </c>
      <c r="BX30" s="4">
        <f t="shared" si="72"/>
        <v>0</v>
      </c>
      <c r="BY30" s="36">
        <v>0</v>
      </c>
      <c r="BZ30" s="36">
        <v>0</v>
      </c>
      <c r="CA30" s="36">
        <v>0</v>
      </c>
      <c r="CB30" s="4">
        <f t="shared" si="73"/>
        <v>0</v>
      </c>
      <c r="CC30" s="4">
        <f t="shared" si="74"/>
        <v>0</v>
      </c>
      <c r="CD30" s="70">
        <f t="shared" si="75"/>
        <v>0</v>
      </c>
      <c r="CE30" s="72">
        <f t="shared" si="76"/>
        <v>0</v>
      </c>
      <c r="CF30" s="72">
        <f t="shared" si="77"/>
        <v>0</v>
      </c>
      <c r="CG30" s="72">
        <f t="shared" si="35"/>
        <v>0</v>
      </c>
      <c r="CH30" s="72">
        <f t="shared" si="78"/>
        <v>0</v>
      </c>
      <c r="CI30" s="35">
        <f t="shared" si="79"/>
        <v>0</v>
      </c>
      <c r="CJ30" s="57" t="str">
        <f t="shared" si="36"/>
        <v>-</v>
      </c>
      <c r="CK30" s="57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72">
        <f t="shared" si="45"/>
        <v>0</v>
      </c>
      <c r="CT30" s="76">
        <f t="shared" si="80"/>
        <v>0</v>
      </c>
      <c r="CU30" s="76">
        <f t="shared" si="81"/>
        <v>0</v>
      </c>
      <c r="CV30" s="76">
        <f t="shared" si="82"/>
        <v>0</v>
      </c>
      <c r="CW30" s="76">
        <f t="shared" si="83"/>
        <v>0</v>
      </c>
      <c r="CX30" s="76">
        <f t="shared" si="84"/>
        <v>0</v>
      </c>
      <c r="CY30" s="76">
        <f t="shared" si="85"/>
        <v>0</v>
      </c>
      <c r="CZ30" s="76">
        <f t="shared" si="86"/>
        <v>0</v>
      </c>
      <c r="DA30" s="76">
        <f t="shared" si="87"/>
        <v>0</v>
      </c>
      <c r="DB30" s="76">
        <f t="shared" si="88"/>
        <v>0</v>
      </c>
      <c r="DC30" s="76">
        <f t="shared" si="89"/>
        <v>0</v>
      </c>
      <c r="DD30" s="76">
        <f t="shared" si="90"/>
        <v>0</v>
      </c>
      <c r="DE30" s="76">
        <f t="shared" si="91"/>
        <v>0</v>
      </c>
      <c r="DF30" s="76" t="e">
        <f t="shared" si="92"/>
        <v>#DIV/0!</v>
      </c>
      <c r="DG30" s="76" t="e">
        <f t="shared" si="93"/>
        <v>#DIV/0!</v>
      </c>
      <c r="DH30" s="76" t="e">
        <f t="shared" si="94"/>
        <v>#DIV/0!</v>
      </c>
      <c r="DI30" s="77" t="e">
        <f t="shared" si="95"/>
        <v>#DIV/0!</v>
      </c>
      <c r="DJ30" s="72" t="e">
        <f t="shared" si="96"/>
        <v>#DIV/0!</v>
      </c>
      <c r="DK30" s="151">
        <f t="shared" si="46"/>
        <v>0</v>
      </c>
      <c r="DL30" s="136">
        <v>0</v>
      </c>
      <c r="DM30" s="136">
        <v>0</v>
      </c>
      <c r="DN30" s="65">
        <v>0</v>
      </c>
    </row>
    <row r="31" spans="1:118" ht="13.5" thickBot="1">
      <c r="A31" s="51" t="s">
        <v>20</v>
      </c>
      <c r="B31" s="42"/>
      <c r="C31" s="7"/>
      <c r="D31" s="67"/>
      <c r="E31" s="67"/>
      <c r="F31" s="125">
        <v>10</v>
      </c>
      <c r="G31" s="129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f t="shared" si="0"/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f t="shared" si="63"/>
        <v>0</v>
      </c>
      <c r="X31" s="41">
        <v>0</v>
      </c>
      <c r="Y31" s="41">
        <f t="shared" si="64"/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f t="shared" si="65"/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66"/>
        <v>0</v>
      </c>
      <c r="AT31" s="4">
        <v>0</v>
      </c>
      <c r="AU31" s="4">
        <f t="shared" si="67"/>
        <v>0</v>
      </c>
      <c r="AV31" s="4">
        <v>0</v>
      </c>
      <c r="AW31" s="4">
        <v>0</v>
      </c>
      <c r="AX31" s="4">
        <f t="shared" si="68"/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f t="shared" si="69"/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f t="shared" si="70"/>
        <v>0</v>
      </c>
      <c r="BP31" s="41">
        <v>0</v>
      </c>
      <c r="BQ31" s="41">
        <v>0</v>
      </c>
      <c r="BR31" s="41">
        <v>0</v>
      </c>
      <c r="BS31" s="41">
        <f t="shared" si="71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72"/>
        <v>0</v>
      </c>
      <c r="BY31" s="4">
        <v>0</v>
      </c>
      <c r="BZ31" s="4">
        <v>0</v>
      </c>
      <c r="CA31" s="4">
        <v>0</v>
      </c>
      <c r="CB31" s="4">
        <f t="shared" si="73"/>
        <v>0</v>
      </c>
      <c r="CC31" s="4">
        <f t="shared" si="74"/>
        <v>0</v>
      </c>
      <c r="CD31" s="70">
        <f t="shared" si="75"/>
        <v>0</v>
      </c>
      <c r="CE31" s="72">
        <f t="shared" si="76"/>
        <v>0</v>
      </c>
      <c r="CF31" s="72">
        <f t="shared" si="77"/>
        <v>0</v>
      </c>
      <c r="CG31" s="72">
        <f t="shared" si="35"/>
        <v>0</v>
      </c>
      <c r="CH31" s="72">
        <f t="shared" si="78"/>
        <v>0</v>
      </c>
      <c r="CI31" s="35">
        <f t="shared" si="79"/>
        <v>0</v>
      </c>
      <c r="CJ31" s="57" t="str">
        <f t="shared" si="36"/>
        <v>-</v>
      </c>
      <c r="CK31" s="57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72">
        <f t="shared" si="45"/>
        <v>0</v>
      </c>
      <c r="CT31" s="76">
        <f t="shared" si="80"/>
        <v>0</v>
      </c>
      <c r="CU31" s="76">
        <f t="shared" si="81"/>
        <v>0</v>
      </c>
      <c r="CV31" s="76">
        <f t="shared" si="82"/>
        <v>0</v>
      </c>
      <c r="CW31" s="76">
        <f t="shared" si="83"/>
        <v>0</v>
      </c>
      <c r="CX31" s="76">
        <f t="shared" si="84"/>
        <v>0</v>
      </c>
      <c r="CY31" s="76">
        <f t="shared" si="85"/>
        <v>0</v>
      </c>
      <c r="CZ31" s="76">
        <f t="shared" si="86"/>
        <v>0</v>
      </c>
      <c r="DA31" s="76">
        <f t="shared" si="87"/>
        <v>0</v>
      </c>
      <c r="DB31" s="76">
        <f t="shared" si="88"/>
        <v>0</v>
      </c>
      <c r="DC31" s="76">
        <f t="shared" si="89"/>
        <v>0</v>
      </c>
      <c r="DD31" s="76">
        <f t="shared" si="90"/>
        <v>0</v>
      </c>
      <c r="DE31" s="76">
        <f t="shared" si="91"/>
        <v>0</v>
      </c>
      <c r="DF31" s="76" t="e">
        <f t="shared" si="92"/>
        <v>#DIV/0!</v>
      </c>
      <c r="DG31" s="76" t="e">
        <f t="shared" si="93"/>
        <v>#DIV/0!</v>
      </c>
      <c r="DH31" s="76" t="e">
        <f t="shared" si="94"/>
        <v>#DIV/0!</v>
      </c>
      <c r="DI31" s="77" t="e">
        <f t="shared" si="95"/>
        <v>#DIV/0!</v>
      </c>
      <c r="DJ31" s="72" t="e">
        <f t="shared" si="96"/>
        <v>#DIV/0!</v>
      </c>
      <c r="DK31" s="151">
        <f t="shared" si="46"/>
        <v>0</v>
      </c>
      <c r="DL31" s="72">
        <v>0</v>
      </c>
      <c r="DM31" s="137">
        <v>0</v>
      </c>
      <c r="DN31" s="68">
        <v>0</v>
      </c>
    </row>
    <row r="32" spans="1:118" ht="12.75" customHeight="1">
      <c r="A32" s="29" t="s">
        <v>70</v>
      </c>
      <c r="B32" s="23">
        <f aca="true" t="shared" si="103" ref="B32:BM32">SUM(B3:B31)</f>
        <v>0</v>
      </c>
      <c r="C32" s="23">
        <f t="shared" si="103"/>
        <v>0</v>
      </c>
      <c r="D32" s="24">
        <f t="shared" si="103"/>
        <v>0</v>
      </c>
      <c r="E32" s="24">
        <f t="shared" si="103"/>
        <v>0</v>
      </c>
      <c r="F32" s="114">
        <f t="shared" si="103"/>
        <v>304</v>
      </c>
      <c r="G32" s="116" t="e">
        <f t="shared" si="103"/>
        <v>#DIV/0!</v>
      </c>
      <c r="H32" s="117" t="e">
        <f t="shared" si="103"/>
        <v>#DIV/0!</v>
      </c>
      <c r="I32" s="117" t="e">
        <f t="shared" si="103"/>
        <v>#DIV/0!</v>
      </c>
      <c r="J32" s="117" t="e">
        <f t="shared" si="103"/>
        <v>#DIV/0!</v>
      </c>
      <c r="K32" s="117" t="e">
        <f t="shared" si="103"/>
        <v>#DIV/0!</v>
      </c>
      <c r="L32" s="117" t="e">
        <f t="shared" si="103"/>
        <v>#DIV/0!</v>
      </c>
      <c r="M32" s="117" t="e">
        <f t="shared" si="103"/>
        <v>#DIV/0!</v>
      </c>
      <c r="N32" s="117" t="e">
        <f t="shared" si="103"/>
        <v>#DIV/0!</v>
      </c>
      <c r="O32" s="117" t="e">
        <f t="shared" si="103"/>
        <v>#DIV/0!</v>
      </c>
      <c r="P32" s="117" t="e">
        <f t="shared" si="103"/>
        <v>#DIV/0!</v>
      </c>
      <c r="Q32" s="117" t="e">
        <f t="shared" si="103"/>
        <v>#DIV/0!</v>
      </c>
      <c r="R32" s="117" t="e">
        <f t="shared" si="103"/>
        <v>#DIV/0!</v>
      </c>
      <c r="S32" s="117" t="e">
        <f t="shared" si="103"/>
        <v>#DIV/0!</v>
      </c>
      <c r="T32" s="117" t="e">
        <f t="shared" si="103"/>
        <v>#DIV/0!</v>
      </c>
      <c r="U32" s="117" t="e">
        <f t="shared" si="103"/>
        <v>#DIV/0!</v>
      </c>
      <c r="V32" s="117" t="e">
        <f t="shared" si="103"/>
        <v>#DIV/0!</v>
      </c>
      <c r="W32" s="117" t="e">
        <f t="shared" si="103"/>
        <v>#DIV/0!</v>
      </c>
      <c r="X32" s="117" t="e">
        <f t="shared" si="103"/>
        <v>#DIV/0!</v>
      </c>
      <c r="Y32" s="117" t="e">
        <f t="shared" si="103"/>
        <v>#DIV/0!</v>
      </c>
      <c r="Z32" s="117" t="e">
        <f t="shared" si="103"/>
        <v>#DIV/0!</v>
      </c>
      <c r="AA32" s="117" t="e">
        <f t="shared" si="103"/>
        <v>#DIV/0!</v>
      </c>
      <c r="AB32" s="117" t="e">
        <f t="shared" si="103"/>
        <v>#DIV/0!</v>
      </c>
      <c r="AC32" s="117" t="e">
        <f t="shared" si="103"/>
        <v>#DIV/0!</v>
      </c>
      <c r="AD32" s="117" t="e">
        <f t="shared" si="103"/>
        <v>#DIV/0!</v>
      </c>
      <c r="AE32" s="117" t="e">
        <f t="shared" si="103"/>
        <v>#DIV/0!</v>
      </c>
      <c r="AF32" s="117" t="e">
        <f t="shared" si="103"/>
        <v>#DIV/0!</v>
      </c>
      <c r="AG32" s="117" t="e">
        <f t="shared" si="103"/>
        <v>#DIV/0!</v>
      </c>
      <c r="AH32" s="117" t="e">
        <f t="shared" si="103"/>
        <v>#DIV/0!</v>
      </c>
      <c r="AI32" s="117" t="e">
        <f t="shared" si="103"/>
        <v>#DIV/0!</v>
      </c>
      <c r="AJ32" s="117" t="e">
        <f t="shared" si="103"/>
        <v>#DIV/0!</v>
      </c>
      <c r="AK32" s="117" t="e">
        <f t="shared" si="103"/>
        <v>#DIV/0!</v>
      </c>
      <c r="AL32" s="117" t="e">
        <f t="shared" si="103"/>
        <v>#DIV/0!</v>
      </c>
      <c r="AM32" s="117" t="e">
        <f t="shared" si="103"/>
        <v>#DIV/0!</v>
      </c>
      <c r="AN32" s="117" t="e">
        <f t="shared" si="103"/>
        <v>#DIV/0!</v>
      </c>
      <c r="AO32" s="117" t="e">
        <f t="shared" si="103"/>
        <v>#DIV/0!</v>
      </c>
      <c r="AP32" s="117" t="e">
        <f t="shared" si="103"/>
        <v>#DIV/0!</v>
      </c>
      <c r="AQ32" s="117" t="e">
        <f t="shared" si="103"/>
        <v>#DIV/0!</v>
      </c>
      <c r="AR32" s="117" t="e">
        <f t="shared" si="103"/>
        <v>#DIV/0!</v>
      </c>
      <c r="AS32" s="117" t="e">
        <f t="shared" si="103"/>
        <v>#DIV/0!</v>
      </c>
      <c r="AT32" s="117" t="e">
        <f t="shared" si="103"/>
        <v>#DIV/0!</v>
      </c>
      <c r="AU32" s="117" t="e">
        <f t="shared" si="103"/>
        <v>#DIV/0!</v>
      </c>
      <c r="AV32" s="117" t="e">
        <f t="shared" si="103"/>
        <v>#DIV/0!</v>
      </c>
      <c r="AW32" s="117" t="e">
        <f t="shared" si="103"/>
        <v>#DIV/0!</v>
      </c>
      <c r="AX32" s="117" t="e">
        <f t="shared" si="103"/>
        <v>#DIV/0!</v>
      </c>
      <c r="AY32" s="117" t="e">
        <f t="shared" si="103"/>
        <v>#DIV/0!</v>
      </c>
      <c r="AZ32" s="117" t="e">
        <f t="shared" si="103"/>
        <v>#DIV/0!</v>
      </c>
      <c r="BA32" s="117" t="e">
        <f t="shared" si="103"/>
        <v>#DIV/0!</v>
      </c>
      <c r="BB32" s="117" t="e">
        <f t="shared" si="103"/>
        <v>#DIV/0!</v>
      </c>
      <c r="BC32" s="117" t="e">
        <f t="shared" si="103"/>
        <v>#DIV/0!</v>
      </c>
      <c r="BD32" s="117" t="e">
        <f t="shared" si="103"/>
        <v>#DIV/0!</v>
      </c>
      <c r="BE32" s="117" t="e">
        <f t="shared" si="103"/>
        <v>#DIV/0!</v>
      </c>
      <c r="BF32" s="117" t="e">
        <f t="shared" si="103"/>
        <v>#DIV/0!</v>
      </c>
      <c r="BG32" s="117" t="e">
        <f t="shared" si="103"/>
        <v>#DIV/0!</v>
      </c>
      <c r="BH32" s="117" t="e">
        <f t="shared" si="103"/>
        <v>#DIV/0!</v>
      </c>
      <c r="BI32" s="117" t="e">
        <f t="shared" si="103"/>
        <v>#DIV/0!</v>
      </c>
      <c r="BJ32" s="117" t="e">
        <f t="shared" si="103"/>
        <v>#DIV/0!</v>
      </c>
      <c r="BK32" s="117" t="e">
        <f t="shared" si="103"/>
        <v>#DIV/0!</v>
      </c>
      <c r="BL32" s="117" t="e">
        <f t="shared" si="103"/>
        <v>#DIV/0!</v>
      </c>
      <c r="BM32" s="117" t="e">
        <f t="shared" si="103"/>
        <v>#DIV/0!</v>
      </c>
      <c r="BN32" s="117" t="e">
        <f aca="true" t="shared" si="104" ref="BN32:DL32">SUM(BN3:BN31)</f>
        <v>#DIV/0!</v>
      </c>
      <c r="BO32" s="117" t="e">
        <f t="shared" si="104"/>
        <v>#DIV/0!</v>
      </c>
      <c r="BP32" s="117" t="e">
        <f t="shared" si="104"/>
        <v>#DIV/0!</v>
      </c>
      <c r="BQ32" s="117" t="e">
        <f t="shared" si="104"/>
        <v>#DIV/0!</v>
      </c>
      <c r="BR32" s="117" t="e">
        <f t="shared" si="104"/>
        <v>#DIV/0!</v>
      </c>
      <c r="BS32" s="117" t="e">
        <f t="shared" si="104"/>
        <v>#DIV/0!</v>
      </c>
      <c r="BT32" s="117" t="e">
        <f t="shared" si="104"/>
        <v>#DIV/0!</v>
      </c>
      <c r="BU32" s="117" t="e">
        <f t="shared" si="104"/>
        <v>#DIV/0!</v>
      </c>
      <c r="BV32" s="117" t="e">
        <f t="shared" si="104"/>
        <v>#DIV/0!</v>
      </c>
      <c r="BW32" s="117" t="e">
        <f t="shared" si="104"/>
        <v>#DIV/0!</v>
      </c>
      <c r="BX32" s="117" t="e">
        <f t="shared" si="104"/>
        <v>#DIV/0!</v>
      </c>
      <c r="BY32" s="117" t="e">
        <f t="shared" si="104"/>
        <v>#DIV/0!</v>
      </c>
      <c r="BZ32" s="117" t="e">
        <f t="shared" si="104"/>
        <v>#DIV/0!</v>
      </c>
      <c r="CA32" s="117" t="e">
        <f t="shared" si="104"/>
        <v>#DIV/0!</v>
      </c>
      <c r="CB32" s="117" t="e">
        <f t="shared" si="104"/>
        <v>#DIV/0!</v>
      </c>
      <c r="CC32" s="117" t="e">
        <f t="shared" si="104"/>
        <v>#DIV/0!</v>
      </c>
      <c r="CD32" s="117" t="e">
        <f t="shared" si="104"/>
        <v>#DIV/0!</v>
      </c>
      <c r="CE32" s="117" t="e">
        <f t="shared" si="104"/>
        <v>#DIV/0!</v>
      </c>
      <c r="CF32" s="117" t="e">
        <f t="shared" si="104"/>
        <v>#DIV/0!</v>
      </c>
      <c r="CG32" s="117" t="e">
        <f t="shared" si="104"/>
        <v>#DIV/0!</v>
      </c>
      <c r="CH32" s="117" t="e">
        <f t="shared" si="104"/>
        <v>#DIV/0!</v>
      </c>
      <c r="CI32" s="117" t="e">
        <f t="shared" si="104"/>
        <v>#DIV/0!</v>
      </c>
      <c r="CJ32" s="118" t="e">
        <f t="shared" si="104"/>
        <v>#DIV/0!</v>
      </c>
      <c r="CK32" s="118" t="e">
        <f t="shared" si="104"/>
        <v>#DIV/0!</v>
      </c>
      <c r="CL32" s="118" t="e">
        <f t="shared" si="104"/>
        <v>#DIV/0!</v>
      </c>
      <c r="CM32" s="118" t="e">
        <f t="shared" si="104"/>
        <v>#DIV/0!</v>
      </c>
      <c r="CN32" s="118" t="e">
        <f t="shared" si="104"/>
        <v>#DIV/0!</v>
      </c>
      <c r="CO32" s="118" t="e">
        <f t="shared" si="104"/>
        <v>#DIV/0!</v>
      </c>
      <c r="CP32" s="118" t="e">
        <f t="shared" si="104"/>
        <v>#DIV/0!</v>
      </c>
      <c r="CQ32" s="118" t="e">
        <f t="shared" si="104"/>
        <v>#DIV/0!</v>
      </c>
      <c r="CR32" s="117" t="e">
        <f t="shared" si="104"/>
        <v>#DIV/0!</v>
      </c>
      <c r="CS32" s="117" t="e">
        <f t="shared" si="104"/>
        <v>#DIV/0!</v>
      </c>
      <c r="CT32" s="117" t="e">
        <f t="shared" si="104"/>
        <v>#DIV/0!</v>
      </c>
      <c r="CU32" s="117" t="e">
        <f t="shared" si="104"/>
        <v>#DIV/0!</v>
      </c>
      <c r="CV32" s="117" t="e">
        <f t="shared" si="104"/>
        <v>#DIV/0!</v>
      </c>
      <c r="CW32" s="117" t="e">
        <f t="shared" si="104"/>
        <v>#DIV/0!</v>
      </c>
      <c r="CX32" s="117" t="e">
        <f t="shared" si="104"/>
        <v>#DIV/0!</v>
      </c>
      <c r="CY32" s="117" t="e">
        <f t="shared" si="104"/>
        <v>#DIV/0!</v>
      </c>
      <c r="CZ32" s="117" t="e">
        <f t="shared" si="104"/>
        <v>#DIV/0!</v>
      </c>
      <c r="DA32" s="117" t="e">
        <f t="shared" si="104"/>
        <v>#DIV/0!</v>
      </c>
      <c r="DB32" s="117" t="e">
        <f t="shared" si="104"/>
        <v>#DIV/0!</v>
      </c>
      <c r="DC32" s="117" t="e">
        <f t="shared" si="104"/>
        <v>#DIV/0!</v>
      </c>
      <c r="DD32" s="117" t="e">
        <f t="shared" si="104"/>
        <v>#DIV/0!</v>
      </c>
      <c r="DE32" s="117" t="e">
        <f t="shared" si="104"/>
        <v>#DIV/0!</v>
      </c>
      <c r="DF32" s="117" t="e">
        <f t="shared" si="104"/>
        <v>#DIV/0!</v>
      </c>
      <c r="DG32" s="117" t="e">
        <f t="shared" si="104"/>
        <v>#DIV/0!</v>
      </c>
      <c r="DH32" s="117" t="e">
        <f t="shared" si="104"/>
        <v>#DIV/0!</v>
      </c>
      <c r="DI32" s="117" t="e">
        <f t="shared" si="104"/>
        <v>#DIV/0!</v>
      </c>
      <c r="DJ32" s="117" t="e">
        <f t="shared" si="104"/>
        <v>#DIV/0!</v>
      </c>
      <c r="DK32" s="117" t="e">
        <f t="shared" si="104"/>
        <v>#DIV/0!</v>
      </c>
      <c r="DL32" s="117">
        <f t="shared" si="104"/>
        <v>0</v>
      </c>
      <c r="DM32" s="24">
        <f>SUM(DM3:DM31)</f>
        <v>0</v>
      </c>
      <c r="DN32" s="25">
        <f>SUM(DN3:DN31)</f>
        <v>0</v>
      </c>
    </row>
    <row r="33" spans="1:118" ht="12.75">
      <c r="A33" s="29" t="s">
        <v>47</v>
      </c>
      <c r="B33" s="23">
        <f aca="true" t="shared" si="105" ref="B33:BM33">MIN(B3:B31)</f>
        <v>0</v>
      </c>
      <c r="C33" s="23">
        <f t="shared" si="105"/>
        <v>0</v>
      </c>
      <c r="D33" s="24">
        <f t="shared" si="105"/>
        <v>0</v>
      </c>
      <c r="E33" s="24">
        <f t="shared" si="105"/>
        <v>0</v>
      </c>
      <c r="F33" s="114">
        <f t="shared" si="105"/>
        <v>0</v>
      </c>
      <c r="G33" s="120" t="e">
        <f t="shared" si="105"/>
        <v>#DIV/0!</v>
      </c>
      <c r="H33" s="23" t="e">
        <f t="shared" si="105"/>
        <v>#DIV/0!</v>
      </c>
      <c r="I33" s="23" t="e">
        <f t="shared" si="105"/>
        <v>#DIV/0!</v>
      </c>
      <c r="J33" s="23" t="e">
        <f t="shared" si="105"/>
        <v>#DIV/0!</v>
      </c>
      <c r="K33" s="23" t="e">
        <f t="shared" si="105"/>
        <v>#DIV/0!</v>
      </c>
      <c r="L33" s="23" t="e">
        <f t="shared" si="105"/>
        <v>#DIV/0!</v>
      </c>
      <c r="M33" s="23" t="e">
        <f t="shared" si="105"/>
        <v>#DIV/0!</v>
      </c>
      <c r="N33" s="23" t="e">
        <f t="shared" si="105"/>
        <v>#DIV/0!</v>
      </c>
      <c r="O33" s="23" t="e">
        <f t="shared" si="105"/>
        <v>#DIV/0!</v>
      </c>
      <c r="P33" s="23" t="e">
        <f t="shared" si="105"/>
        <v>#DIV/0!</v>
      </c>
      <c r="Q33" s="23" t="e">
        <f t="shared" si="105"/>
        <v>#DIV/0!</v>
      </c>
      <c r="R33" s="23" t="e">
        <f t="shared" si="105"/>
        <v>#DIV/0!</v>
      </c>
      <c r="S33" s="23" t="e">
        <f t="shared" si="105"/>
        <v>#DIV/0!</v>
      </c>
      <c r="T33" s="23" t="e">
        <f t="shared" si="105"/>
        <v>#DIV/0!</v>
      </c>
      <c r="U33" s="23" t="e">
        <f t="shared" si="105"/>
        <v>#DIV/0!</v>
      </c>
      <c r="V33" s="23" t="e">
        <f t="shared" si="105"/>
        <v>#DIV/0!</v>
      </c>
      <c r="W33" s="23" t="e">
        <f t="shared" si="105"/>
        <v>#DIV/0!</v>
      </c>
      <c r="X33" s="23" t="e">
        <f t="shared" si="105"/>
        <v>#DIV/0!</v>
      </c>
      <c r="Y33" s="23" t="e">
        <f t="shared" si="105"/>
        <v>#DIV/0!</v>
      </c>
      <c r="Z33" s="23" t="e">
        <f t="shared" si="105"/>
        <v>#DIV/0!</v>
      </c>
      <c r="AA33" s="23" t="e">
        <f t="shared" si="105"/>
        <v>#DIV/0!</v>
      </c>
      <c r="AB33" s="23" t="e">
        <f t="shared" si="105"/>
        <v>#DIV/0!</v>
      </c>
      <c r="AC33" s="23" t="e">
        <f>MIN(AC3:AC31)</f>
        <v>#DIV/0!</v>
      </c>
      <c r="AD33" s="23" t="e">
        <f t="shared" si="105"/>
        <v>#DIV/0!</v>
      </c>
      <c r="AE33" s="23" t="e">
        <f t="shared" si="105"/>
        <v>#DIV/0!</v>
      </c>
      <c r="AF33" s="23" t="e">
        <f t="shared" si="105"/>
        <v>#DIV/0!</v>
      </c>
      <c r="AG33" s="23" t="e">
        <f t="shared" si="105"/>
        <v>#DIV/0!</v>
      </c>
      <c r="AH33" s="23" t="e">
        <f t="shared" si="105"/>
        <v>#DIV/0!</v>
      </c>
      <c r="AI33" s="23" t="e">
        <f t="shared" si="105"/>
        <v>#DIV/0!</v>
      </c>
      <c r="AJ33" s="23" t="e">
        <f t="shared" si="105"/>
        <v>#DIV/0!</v>
      </c>
      <c r="AK33" s="23" t="e">
        <f t="shared" si="105"/>
        <v>#DIV/0!</v>
      </c>
      <c r="AL33" s="23" t="e">
        <f t="shared" si="105"/>
        <v>#DIV/0!</v>
      </c>
      <c r="AM33" s="23" t="e">
        <f t="shared" si="105"/>
        <v>#DIV/0!</v>
      </c>
      <c r="AN33" s="23" t="e">
        <f t="shared" si="105"/>
        <v>#DIV/0!</v>
      </c>
      <c r="AO33" s="23" t="e">
        <f t="shared" si="105"/>
        <v>#DIV/0!</v>
      </c>
      <c r="AP33" s="23" t="e">
        <f t="shared" si="105"/>
        <v>#DIV/0!</v>
      </c>
      <c r="AQ33" s="23" t="e">
        <f t="shared" si="105"/>
        <v>#DIV/0!</v>
      </c>
      <c r="AR33" s="23" t="e">
        <f t="shared" si="105"/>
        <v>#DIV/0!</v>
      </c>
      <c r="AS33" s="23" t="e">
        <f t="shared" si="105"/>
        <v>#DIV/0!</v>
      </c>
      <c r="AT33" s="23" t="e">
        <f t="shared" si="105"/>
        <v>#DIV/0!</v>
      </c>
      <c r="AU33" s="23" t="e">
        <f t="shared" si="105"/>
        <v>#DIV/0!</v>
      </c>
      <c r="AV33" s="23" t="e">
        <f t="shared" si="105"/>
        <v>#DIV/0!</v>
      </c>
      <c r="AW33" s="23" t="e">
        <f t="shared" si="105"/>
        <v>#DIV/0!</v>
      </c>
      <c r="AX33" s="23" t="e">
        <f t="shared" si="105"/>
        <v>#DIV/0!</v>
      </c>
      <c r="AY33" s="23" t="e">
        <f t="shared" si="105"/>
        <v>#DIV/0!</v>
      </c>
      <c r="AZ33" s="23" t="e">
        <f t="shared" si="105"/>
        <v>#DIV/0!</v>
      </c>
      <c r="BA33" s="23" t="e">
        <f t="shared" si="105"/>
        <v>#DIV/0!</v>
      </c>
      <c r="BB33" s="23" t="e">
        <f t="shared" si="105"/>
        <v>#DIV/0!</v>
      </c>
      <c r="BC33" s="23" t="e">
        <f t="shared" si="105"/>
        <v>#DIV/0!</v>
      </c>
      <c r="BD33" s="23" t="e">
        <f t="shared" si="105"/>
        <v>#DIV/0!</v>
      </c>
      <c r="BE33" s="23" t="e">
        <f t="shared" si="105"/>
        <v>#DIV/0!</v>
      </c>
      <c r="BF33" s="23" t="e">
        <f t="shared" si="105"/>
        <v>#DIV/0!</v>
      </c>
      <c r="BG33" s="23" t="e">
        <f t="shared" si="105"/>
        <v>#DIV/0!</v>
      </c>
      <c r="BH33" s="23" t="e">
        <f t="shared" si="105"/>
        <v>#DIV/0!</v>
      </c>
      <c r="BI33" s="23" t="e">
        <f t="shared" si="105"/>
        <v>#DIV/0!</v>
      </c>
      <c r="BJ33" s="23" t="e">
        <f t="shared" si="105"/>
        <v>#DIV/0!</v>
      </c>
      <c r="BK33" s="23" t="e">
        <f t="shared" si="105"/>
        <v>#DIV/0!</v>
      </c>
      <c r="BL33" s="23" t="e">
        <f t="shared" si="105"/>
        <v>#DIV/0!</v>
      </c>
      <c r="BM33" s="23" t="e">
        <f t="shared" si="105"/>
        <v>#DIV/0!</v>
      </c>
      <c r="BN33" s="23" t="e">
        <f aca="true" t="shared" si="106" ref="BN33:DL33">MIN(BN3:BN31)</f>
        <v>#DIV/0!</v>
      </c>
      <c r="BO33" s="23" t="e">
        <f t="shared" si="106"/>
        <v>#DIV/0!</v>
      </c>
      <c r="BP33" s="23" t="e">
        <f t="shared" si="106"/>
        <v>#DIV/0!</v>
      </c>
      <c r="BQ33" s="23" t="e">
        <f t="shared" si="106"/>
        <v>#DIV/0!</v>
      </c>
      <c r="BR33" s="23" t="e">
        <f t="shared" si="106"/>
        <v>#DIV/0!</v>
      </c>
      <c r="BS33" s="23" t="e">
        <f t="shared" si="106"/>
        <v>#DIV/0!</v>
      </c>
      <c r="BT33" s="23" t="e">
        <f t="shared" si="106"/>
        <v>#DIV/0!</v>
      </c>
      <c r="BU33" s="23" t="e">
        <f t="shared" si="106"/>
        <v>#DIV/0!</v>
      </c>
      <c r="BV33" s="23" t="e">
        <f t="shared" si="106"/>
        <v>#DIV/0!</v>
      </c>
      <c r="BW33" s="23" t="e">
        <f t="shared" si="106"/>
        <v>#DIV/0!</v>
      </c>
      <c r="BX33" s="23" t="e">
        <f t="shared" si="106"/>
        <v>#DIV/0!</v>
      </c>
      <c r="BY33" s="23" t="e">
        <f t="shared" si="106"/>
        <v>#DIV/0!</v>
      </c>
      <c r="BZ33" s="23" t="e">
        <f t="shared" si="106"/>
        <v>#DIV/0!</v>
      </c>
      <c r="CA33" s="23" t="e">
        <f t="shared" si="106"/>
        <v>#DIV/0!</v>
      </c>
      <c r="CB33" s="23" t="e">
        <f t="shared" si="106"/>
        <v>#DIV/0!</v>
      </c>
      <c r="CC33" s="23" t="e">
        <f t="shared" si="106"/>
        <v>#DIV/0!</v>
      </c>
      <c r="CD33" s="23" t="e">
        <f t="shared" si="106"/>
        <v>#DIV/0!</v>
      </c>
      <c r="CE33" s="23" t="e">
        <f t="shared" si="106"/>
        <v>#DIV/0!</v>
      </c>
      <c r="CF33" s="23" t="e">
        <f t="shared" si="106"/>
        <v>#DIV/0!</v>
      </c>
      <c r="CG33" s="23" t="e">
        <f t="shared" si="106"/>
        <v>#DIV/0!</v>
      </c>
      <c r="CH33" s="23" t="e">
        <f t="shared" si="106"/>
        <v>#DIV/0!</v>
      </c>
      <c r="CI33" s="23" t="e">
        <f t="shared" si="106"/>
        <v>#DIV/0!</v>
      </c>
      <c r="CJ33" s="89" t="e">
        <f t="shared" si="106"/>
        <v>#DIV/0!</v>
      </c>
      <c r="CK33" s="89" t="e">
        <f t="shared" si="106"/>
        <v>#DIV/0!</v>
      </c>
      <c r="CL33" s="89" t="e">
        <f t="shared" si="106"/>
        <v>#DIV/0!</v>
      </c>
      <c r="CM33" s="89" t="e">
        <f t="shared" si="106"/>
        <v>#DIV/0!</v>
      </c>
      <c r="CN33" s="89" t="e">
        <f t="shared" si="106"/>
        <v>#DIV/0!</v>
      </c>
      <c r="CO33" s="89" t="e">
        <f t="shared" si="106"/>
        <v>#DIV/0!</v>
      </c>
      <c r="CP33" s="89" t="e">
        <f t="shared" si="106"/>
        <v>#DIV/0!</v>
      </c>
      <c r="CQ33" s="89" t="e">
        <f t="shared" si="106"/>
        <v>#DIV/0!</v>
      </c>
      <c r="CR33" s="23" t="e">
        <f t="shared" si="106"/>
        <v>#DIV/0!</v>
      </c>
      <c r="CS33" s="23" t="e">
        <f t="shared" si="106"/>
        <v>#DIV/0!</v>
      </c>
      <c r="CT33" s="23" t="e">
        <f t="shared" si="106"/>
        <v>#DIV/0!</v>
      </c>
      <c r="CU33" s="23" t="e">
        <f t="shared" si="106"/>
        <v>#DIV/0!</v>
      </c>
      <c r="CV33" s="23" t="e">
        <f t="shared" si="106"/>
        <v>#DIV/0!</v>
      </c>
      <c r="CW33" s="23" t="e">
        <f t="shared" si="106"/>
        <v>#DIV/0!</v>
      </c>
      <c r="CX33" s="23" t="e">
        <f t="shared" si="106"/>
        <v>#DIV/0!</v>
      </c>
      <c r="CY33" s="23" t="e">
        <f t="shared" si="106"/>
        <v>#DIV/0!</v>
      </c>
      <c r="CZ33" s="23" t="e">
        <f t="shared" si="106"/>
        <v>#DIV/0!</v>
      </c>
      <c r="DA33" s="23" t="e">
        <f t="shared" si="106"/>
        <v>#DIV/0!</v>
      </c>
      <c r="DB33" s="23" t="e">
        <f t="shared" si="106"/>
        <v>#DIV/0!</v>
      </c>
      <c r="DC33" s="23" t="e">
        <f t="shared" si="106"/>
        <v>#DIV/0!</v>
      </c>
      <c r="DD33" s="23" t="e">
        <f t="shared" si="106"/>
        <v>#DIV/0!</v>
      </c>
      <c r="DE33" s="23" t="e">
        <f t="shared" si="106"/>
        <v>#DIV/0!</v>
      </c>
      <c r="DF33" s="23" t="e">
        <f t="shared" si="106"/>
        <v>#DIV/0!</v>
      </c>
      <c r="DG33" s="23" t="e">
        <f t="shared" si="106"/>
        <v>#DIV/0!</v>
      </c>
      <c r="DH33" s="23" t="e">
        <f t="shared" si="106"/>
        <v>#DIV/0!</v>
      </c>
      <c r="DI33" s="23" t="e">
        <f t="shared" si="106"/>
        <v>#DIV/0!</v>
      </c>
      <c r="DJ33" s="23" t="e">
        <f t="shared" si="106"/>
        <v>#DIV/0!</v>
      </c>
      <c r="DK33" s="23" t="e">
        <f t="shared" si="106"/>
        <v>#DIV/0!</v>
      </c>
      <c r="DL33" s="23">
        <f t="shared" si="106"/>
        <v>0</v>
      </c>
      <c r="DM33" s="24">
        <f>MIN(DM3:DM31)</f>
        <v>0</v>
      </c>
      <c r="DN33" s="25">
        <f>MIN(DN3:DN31)</f>
        <v>0</v>
      </c>
    </row>
    <row r="34" spans="1:118" ht="12.75">
      <c r="A34" s="29" t="s">
        <v>48</v>
      </c>
      <c r="B34" s="23">
        <f aca="true" t="shared" si="107" ref="B34:BM34">MAX(B3:B31)</f>
        <v>0</v>
      </c>
      <c r="C34" s="23">
        <f t="shared" si="107"/>
        <v>0</v>
      </c>
      <c r="D34" s="24">
        <f t="shared" si="107"/>
        <v>0</v>
      </c>
      <c r="E34" s="24">
        <f t="shared" si="107"/>
        <v>0</v>
      </c>
      <c r="F34" s="114">
        <f t="shared" si="107"/>
        <v>15</v>
      </c>
      <c r="G34" s="120" t="e">
        <f t="shared" si="107"/>
        <v>#DIV/0!</v>
      </c>
      <c r="H34" s="23" t="e">
        <f t="shared" si="107"/>
        <v>#DIV/0!</v>
      </c>
      <c r="I34" s="23" t="e">
        <f t="shared" si="107"/>
        <v>#DIV/0!</v>
      </c>
      <c r="J34" s="23" t="e">
        <f t="shared" si="107"/>
        <v>#DIV/0!</v>
      </c>
      <c r="K34" s="23" t="e">
        <f t="shared" si="107"/>
        <v>#DIV/0!</v>
      </c>
      <c r="L34" s="23" t="e">
        <f t="shared" si="107"/>
        <v>#DIV/0!</v>
      </c>
      <c r="M34" s="23" t="e">
        <f t="shared" si="107"/>
        <v>#DIV/0!</v>
      </c>
      <c r="N34" s="23" t="e">
        <f t="shared" si="107"/>
        <v>#DIV/0!</v>
      </c>
      <c r="O34" s="23" t="e">
        <f t="shared" si="107"/>
        <v>#DIV/0!</v>
      </c>
      <c r="P34" s="23" t="e">
        <f t="shared" si="107"/>
        <v>#DIV/0!</v>
      </c>
      <c r="Q34" s="23" t="e">
        <f t="shared" si="107"/>
        <v>#DIV/0!</v>
      </c>
      <c r="R34" s="23" t="e">
        <f t="shared" si="107"/>
        <v>#DIV/0!</v>
      </c>
      <c r="S34" s="23" t="e">
        <f t="shared" si="107"/>
        <v>#DIV/0!</v>
      </c>
      <c r="T34" s="23" t="e">
        <f t="shared" si="107"/>
        <v>#DIV/0!</v>
      </c>
      <c r="U34" s="23" t="e">
        <f t="shared" si="107"/>
        <v>#DIV/0!</v>
      </c>
      <c r="V34" s="23" t="e">
        <f t="shared" si="107"/>
        <v>#DIV/0!</v>
      </c>
      <c r="W34" s="23" t="e">
        <f t="shared" si="107"/>
        <v>#DIV/0!</v>
      </c>
      <c r="X34" s="23" t="e">
        <f t="shared" si="107"/>
        <v>#DIV/0!</v>
      </c>
      <c r="Y34" s="23" t="e">
        <f t="shared" si="107"/>
        <v>#DIV/0!</v>
      </c>
      <c r="Z34" s="23" t="e">
        <f t="shared" si="107"/>
        <v>#DIV/0!</v>
      </c>
      <c r="AA34" s="23" t="e">
        <f t="shared" si="107"/>
        <v>#DIV/0!</v>
      </c>
      <c r="AB34" s="23" t="e">
        <f t="shared" si="107"/>
        <v>#DIV/0!</v>
      </c>
      <c r="AC34" s="23" t="e">
        <f>MAX(AC3:AC31)</f>
        <v>#DIV/0!</v>
      </c>
      <c r="AD34" s="23" t="e">
        <f t="shared" si="107"/>
        <v>#DIV/0!</v>
      </c>
      <c r="AE34" s="23" t="e">
        <f t="shared" si="107"/>
        <v>#DIV/0!</v>
      </c>
      <c r="AF34" s="23" t="e">
        <f t="shared" si="107"/>
        <v>#DIV/0!</v>
      </c>
      <c r="AG34" s="23" t="e">
        <f t="shared" si="107"/>
        <v>#DIV/0!</v>
      </c>
      <c r="AH34" s="23" t="e">
        <f t="shared" si="107"/>
        <v>#DIV/0!</v>
      </c>
      <c r="AI34" s="23" t="e">
        <f t="shared" si="107"/>
        <v>#DIV/0!</v>
      </c>
      <c r="AJ34" s="23" t="e">
        <f t="shared" si="107"/>
        <v>#DIV/0!</v>
      </c>
      <c r="AK34" s="23" t="e">
        <f t="shared" si="107"/>
        <v>#DIV/0!</v>
      </c>
      <c r="AL34" s="23" t="e">
        <f t="shared" si="107"/>
        <v>#DIV/0!</v>
      </c>
      <c r="AM34" s="23" t="e">
        <f t="shared" si="107"/>
        <v>#DIV/0!</v>
      </c>
      <c r="AN34" s="23" t="e">
        <f t="shared" si="107"/>
        <v>#DIV/0!</v>
      </c>
      <c r="AO34" s="23" t="e">
        <f t="shared" si="107"/>
        <v>#DIV/0!</v>
      </c>
      <c r="AP34" s="23" t="e">
        <f t="shared" si="107"/>
        <v>#DIV/0!</v>
      </c>
      <c r="AQ34" s="23" t="e">
        <f t="shared" si="107"/>
        <v>#DIV/0!</v>
      </c>
      <c r="AR34" s="23" t="e">
        <f t="shared" si="107"/>
        <v>#DIV/0!</v>
      </c>
      <c r="AS34" s="23" t="e">
        <f t="shared" si="107"/>
        <v>#DIV/0!</v>
      </c>
      <c r="AT34" s="23" t="e">
        <f t="shared" si="107"/>
        <v>#DIV/0!</v>
      </c>
      <c r="AU34" s="23" t="e">
        <f t="shared" si="107"/>
        <v>#DIV/0!</v>
      </c>
      <c r="AV34" s="23" t="e">
        <f t="shared" si="107"/>
        <v>#DIV/0!</v>
      </c>
      <c r="AW34" s="23" t="e">
        <f t="shared" si="107"/>
        <v>#DIV/0!</v>
      </c>
      <c r="AX34" s="23" t="e">
        <f t="shared" si="107"/>
        <v>#DIV/0!</v>
      </c>
      <c r="AY34" s="23" t="e">
        <f t="shared" si="107"/>
        <v>#DIV/0!</v>
      </c>
      <c r="AZ34" s="23" t="e">
        <f t="shared" si="107"/>
        <v>#DIV/0!</v>
      </c>
      <c r="BA34" s="23" t="e">
        <f t="shared" si="107"/>
        <v>#DIV/0!</v>
      </c>
      <c r="BB34" s="23" t="e">
        <f t="shared" si="107"/>
        <v>#DIV/0!</v>
      </c>
      <c r="BC34" s="23" t="e">
        <f t="shared" si="107"/>
        <v>#DIV/0!</v>
      </c>
      <c r="BD34" s="23" t="e">
        <f t="shared" si="107"/>
        <v>#DIV/0!</v>
      </c>
      <c r="BE34" s="23" t="e">
        <f t="shared" si="107"/>
        <v>#DIV/0!</v>
      </c>
      <c r="BF34" s="23" t="e">
        <f t="shared" si="107"/>
        <v>#DIV/0!</v>
      </c>
      <c r="BG34" s="23" t="e">
        <f t="shared" si="107"/>
        <v>#DIV/0!</v>
      </c>
      <c r="BH34" s="23" t="e">
        <f t="shared" si="107"/>
        <v>#DIV/0!</v>
      </c>
      <c r="BI34" s="23" t="e">
        <f t="shared" si="107"/>
        <v>#DIV/0!</v>
      </c>
      <c r="BJ34" s="23" t="e">
        <f t="shared" si="107"/>
        <v>#DIV/0!</v>
      </c>
      <c r="BK34" s="23" t="e">
        <f t="shared" si="107"/>
        <v>#DIV/0!</v>
      </c>
      <c r="BL34" s="23" t="e">
        <f t="shared" si="107"/>
        <v>#DIV/0!</v>
      </c>
      <c r="BM34" s="23" t="e">
        <f t="shared" si="107"/>
        <v>#DIV/0!</v>
      </c>
      <c r="BN34" s="23" t="e">
        <f aca="true" t="shared" si="108" ref="BN34:DL34">MAX(BN3:BN31)</f>
        <v>#DIV/0!</v>
      </c>
      <c r="BO34" s="23" t="e">
        <f t="shared" si="108"/>
        <v>#DIV/0!</v>
      </c>
      <c r="BP34" s="23" t="e">
        <f t="shared" si="108"/>
        <v>#DIV/0!</v>
      </c>
      <c r="BQ34" s="23" t="e">
        <f t="shared" si="108"/>
        <v>#DIV/0!</v>
      </c>
      <c r="BR34" s="23" t="e">
        <f t="shared" si="108"/>
        <v>#DIV/0!</v>
      </c>
      <c r="BS34" s="23" t="e">
        <f t="shared" si="108"/>
        <v>#DIV/0!</v>
      </c>
      <c r="BT34" s="23" t="e">
        <f t="shared" si="108"/>
        <v>#DIV/0!</v>
      </c>
      <c r="BU34" s="23" t="e">
        <f t="shared" si="108"/>
        <v>#DIV/0!</v>
      </c>
      <c r="BV34" s="23" t="e">
        <f t="shared" si="108"/>
        <v>#DIV/0!</v>
      </c>
      <c r="BW34" s="23" t="e">
        <f t="shared" si="108"/>
        <v>#DIV/0!</v>
      </c>
      <c r="BX34" s="23" t="e">
        <f t="shared" si="108"/>
        <v>#DIV/0!</v>
      </c>
      <c r="BY34" s="23" t="e">
        <f t="shared" si="108"/>
        <v>#DIV/0!</v>
      </c>
      <c r="BZ34" s="23" t="e">
        <f t="shared" si="108"/>
        <v>#DIV/0!</v>
      </c>
      <c r="CA34" s="23" t="e">
        <f t="shared" si="108"/>
        <v>#DIV/0!</v>
      </c>
      <c r="CB34" s="23" t="e">
        <f t="shared" si="108"/>
        <v>#DIV/0!</v>
      </c>
      <c r="CC34" s="23" t="e">
        <f t="shared" si="108"/>
        <v>#DIV/0!</v>
      </c>
      <c r="CD34" s="23" t="e">
        <f t="shared" si="108"/>
        <v>#DIV/0!</v>
      </c>
      <c r="CE34" s="23" t="e">
        <f t="shared" si="108"/>
        <v>#DIV/0!</v>
      </c>
      <c r="CF34" s="23" t="e">
        <f t="shared" si="108"/>
        <v>#DIV/0!</v>
      </c>
      <c r="CG34" s="23" t="e">
        <f t="shared" si="108"/>
        <v>#DIV/0!</v>
      </c>
      <c r="CH34" s="23" t="e">
        <f t="shared" si="108"/>
        <v>#DIV/0!</v>
      </c>
      <c r="CI34" s="23" t="e">
        <f t="shared" si="108"/>
        <v>#DIV/0!</v>
      </c>
      <c r="CJ34" s="89" t="e">
        <f t="shared" si="108"/>
        <v>#DIV/0!</v>
      </c>
      <c r="CK34" s="89" t="e">
        <f t="shared" si="108"/>
        <v>#DIV/0!</v>
      </c>
      <c r="CL34" s="89" t="e">
        <f t="shared" si="108"/>
        <v>#DIV/0!</v>
      </c>
      <c r="CM34" s="89" t="e">
        <f t="shared" si="108"/>
        <v>#DIV/0!</v>
      </c>
      <c r="CN34" s="89" t="e">
        <f t="shared" si="108"/>
        <v>#DIV/0!</v>
      </c>
      <c r="CO34" s="89" t="e">
        <f t="shared" si="108"/>
        <v>#DIV/0!</v>
      </c>
      <c r="CP34" s="89" t="e">
        <f t="shared" si="108"/>
        <v>#DIV/0!</v>
      </c>
      <c r="CQ34" s="89" t="e">
        <f t="shared" si="108"/>
        <v>#DIV/0!</v>
      </c>
      <c r="CR34" s="23" t="e">
        <f t="shared" si="108"/>
        <v>#DIV/0!</v>
      </c>
      <c r="CS34" s="23" t="e">
        <f t="shared" si="108"/>
        <v>#DIV/0!</v>
      </c>
      <c r="CT34" s="23" t="e">
        <f t="shared" si="108"/>
        <v>#DIV/0!</v>
      </c>
      <c r="CU34" s="23" t="e">
        <f t="shared" si="108"/>
        <v>#DIV/0!</v>
      </c>
      <c r="CV34" s="23" t="e">
        <f t="shared" si="108"/>
        <v>#DIV/0!</v>
      </c>
      <c r="CW34" s="23" t="e">
        <f t="shared" si="108"/>
        <v>#DIV/0!</v>
      </c>
      <c r="CX34" s="23" t="e">
        <f t="shared" si="108"/>
        <v>#DIV/0!</v>
      </c>
      <c r="CY34" s="23" t="e">
        <f t="shared" si="108"/>
        <v>#DIV/0!</v>
      </c>
      <c r="CZ34" s="23" t="e">
        <f t="shared" si="108"/>
        <v>#DIV/0!</v>
      </c>
      <c r="DA34" s="23" t="e">
        <f t="shared" si="108"/>
        <v>#DIV/0!</v>
      </c>
      <c r="DB34" s="23" t="e">
        <f t="shared" si="108"/>
        <v>#DIV/0!</v>
      </c>
      <c r="DC34" s="23" t="e">
        <f t="shared" si="108"/>
        <v>#DIV/0!</v>
      </c>
      <c r="DD34" s="23" t="e">
        <f t="shared" si="108"/>
        <v>#DIV/0!</v>
      </c>
      <c r="DE34" s="23" t="e">
        <f t="shared" si="108"/>
        <v>#DIV/0!</v>
      </c>
      <c r="DF34" s="23" t="e">
        <f t="shared" si="108"/>
        <v>#DIV/0!</v>
      </c>
      <c r="DG34" s="23" t="e">
        <f t="shared" si="108"/>
        <v>#DIV/0!</v>
      </c>
      <c r="DH34" s="23" t="e">
        <f t="shared" si="108"/>
        <v>#DIV/0!</v>
      </c>
      <c r="DI34" s="23" t="e">
        <f t="shared" si="108"/>
        <v>#DIV/0!</v>
      </c>
      <c r="DJ34" s="23" t="e">
        <f t="shared" si="108"/>
        <v>#DIV/0!</v>
      </c>
      <c r="DK34" s="23" t="e">
        <f t="shared" si="108"/>
        <v>#DIV/0!</v>
      </c>
      <c r="DL34" s="23">
        <f t="shared" si="108"/>
        <v>0</v>
      </c>
      <c r="DM34" s="24">
        <f>MAX(DM3:DM31)</f>
        <v>0</v>
      </c>
      <c r="DN34" s="25">
        <f>MAX(DN3:DN31)</f>
        <v>0</v>
      </c>
    </row>
    <row r="35" spans="1:118" ht="13.5" thickBot="1">
      <c r="A35" s="30" t="s">
        <v>49</v>
      </c>
      <c r="B35" s="26" t="e">
        <f aca="true" t="shared" si="109" ref="B35:BM35">MEDIAN(B3:B31)</f>
        <v>#NUM!</v>
      </c>
      <c r="C35" s="26" t="e">
        <f t="shared" si="109"/>
        <v>#NUM!</v>
      </c>
      <c r="D35" s="27" t="e">
        <f t="shared" si="109"/>
        <v>#NUM!</v>
      </c>
      <c r="E35" s="27" t="e">
        <f t="shared" si="109"/>
        <v>#NUM!</v>
      </c>
      <c r="F35" s="115">
        <f t="shared" si="109"/>
        <v>11</v>
      </c>
      <c r="G35" s="121" t="e">
        <f t="shared" si="109"/>
        <v>#DIV/0!</v>
      </c>
      <c r="H35" s="26" t="e">
        <f t="shared" si="109"/>
        <v>#DIV/0!</v>
      </c>
      <c r="I35" s="26" t="e">
        <f t="shared" si="109"/>
        <v>#DIV/0!</v>
      </c>
      <c r="J35" s="26" t="e">
        <f t="shared" si="109"/>
        <v>#DIV/0!</v>
      </c>
      <c r="K35" s="26" t="e">
        <f t="shared" si="109"/>
        <v>#DIV/0!</v>
      </c>
      <c r="L35" s="26" t="e">
        <f t="shared" si="109"/>
        <v>#DIV/0!</v>
      </c>
      <c r="M35" s="26" t="e">
        <f t="shared" si="109"/>
        <v>#DIV/0!</v>
      </c>
      <c r="N35" s="26" t="e">
        <f t="shared" si="109"/>
        <v>#DIV/0!</v>
      </c>
      <c r="O35" s="26" t="e">
        <f t="shared" si="109"/>
        <v>#DIV/0!</v>
      </c>
      <c r="P35" s="26" t="e">
        <f t="shared" si="109"/>
        <v>#DIV/0!</v>
      </c>
      <c r="Q35" s="26" t="e">
        <f t="shared" si="109"/>
        <v>#DIV/0!</v>
      </c>
      <c r="R35" s="26" t="e">
        <f t="shared" si="109"/>
        <v>#DIV/0!</v>
      </c>
      <c r="S35" s="26" t="e">
        <f t="shared" si="109"/>
        <v>#DIV/0!</v>
      </c>
      <c r="T35" s="26" t="e">
        <f t="shared" si="109"/>
        <v>#DIV/0!</v>
      </c>
      <c r="U35" s="26" t="e">
        <f t="shared" si="109"/>
        <v>#DIV/0!</v>
      </c>
      <c r="V35" s="26" t="e">
        <f t="shared" si="109"/>
        <v>#DIV/0!</v>
      </c>
      <c r="W35" s="26" t="e">
        <f t="shared" si="109"/>
        <v>#DIV/0!</v>
      </c>
      <c r="X35" s="26" t="e">
        <f t="shared" si="109"/>
        <v>#DIV/0!</v>
      </c>
      <c r="Y35" s="26" t="e">
        <f t="shared" si="109"/>
        <v>#DIV/0!</v>
      </c>
      <c r="Z35" s="26" t="e">
        <f t="shared" si="109"/>
        <v>#DIV/0!</v>
      </c>
      <c r="AA35" s="26" t="e">
        <f t="shared" si="109"/>
        <v>#DIV/0!</v>
      </c>
      <c r="AB35" s="26" t="e">
        <f t="shared" si="109"/>
        <v>#DIV/0!</v>
      </c>
      <c r="AC35" s="26" t="e">
        <f>MEDIAN(AC3:AC31)</f>
        <v>#DIV/0!</v>
      </c>
      <c r="AD35" s="26" t="e">
        <f t="shared" si="109"/>
        <v>#DIV/0!</v>
      </c>
      <c r="AE35" s="26" t="e">
        <f t="shared" si="109"/>
        <v>#DIV/0!</v>
      </c>
      <c r="AF35" s="26" t="e">
        <f t="shared" si="109"/>
        <v>#DIV/0!</v>
      </c>
      <c r="AG35" s="26" t="e">
        <f t="shared" si="109"/>
        <v>#DIV/0!</v>
      </c>
      <c r="AH35" s="26" t="e">
        <f t="shared" si="109"/>
        <v>#DIV/0!</v>
      </c>
      <c r="AI35" s="26" t="e">
        <f t="shared" si="109"/>
        <v>#DIV/0!</v>
      </c>
      <c r="AJ35" s="26" t="e">
        <f t="shared" si="109"/>
        <v>#DIV/0!</v>
      </c>
      <c r="AK35" s="26" t="e">
        <f t="shared" si="109"/>
        <v>#DIV/0!</v>
      </c>
      <c r="AL35" s="26" t="e">
        <f t="shared" si="109"/>
        <v>#DIV/0!</v>
      </c>
      <c r="AM35" s="26" t="e">
        <f t="shared" si="109"/>
        <v>#DIV/0!</v>
      </c>
      <c r="AN35" s="26" t="e">
        <f t="shared" si="109"/>
        <v>#DIV/0!</v>
      </c>
      <c r="AO35" s="26" t="e">
        <f t="shared" si="109"/>
        <v>#DIV/0!</v>
      </c>
      <c r="AP35" s="26" t="e">
        <f t="shared" si="109"/>
        <v>#DIV/0!</v>
      </c>
      <c r="AQ35" s="26" t="e">
        <f t="shared" si="109"/>
        <v>#DIV/0!</v>
      </c>
      <c r="AR35" s="26" t="e">
        <f t="shared" si="109"/>
        <v>#DIV/0!</v>
      </c>
      <c r="AS35" s="26" t="e">
        <f t="shared" si="109"/>
        <v>#DIV/0!</v>
      </c>
      <c r="AT35" s="26" t="e">
        <f t="shared" si="109"/>
        <v>#DIV/0!</v>
      </c>
      <c r="AU35" s="26" t="e">
        <f t="shared" si="109"/>
        <v>#DIV/0!</v>
      </c>
      <c r="AV35" s="26" t="e">
        <f t="shared" si="109"/>
        <v>#DIV/0!</v>
      </c>
      <c r="AW35" s="26" t="e">
        <f t="shared" si="109"/>
        <v>#DIV/0!</v>
      </c>
      <c r="AX35" s="26" t="e">
        <f t="shared" si="109"/>
        <v>#DIV/0!</v>
      </c>
      <c r="AY35" s="26" t="e">
        <f t="shared" si="109"/>
        <v>#DIV/0!</v>
      </c>
      <c r="AZ35" s="26" t="e">
        <f t="shared" si="109"/>
        <v>#DIV/0!</v>
      </c>
      <c r="BA35" s="26" t="e">
        <f t="shared" si="109"/>
        <v>#DIV/0!</v>
      </c>
      <c r="BB35" s="26" t="e">
        <f t="shared" si="109"/>
        <v>#DIV/0!</v>
      </c>
      <c r="BC35" s="26" t="e">
        <f t="shared" si="109"/>
        <v>#DIV/0!</v>
      </c>
      <c r="BD35" s="26" t="e">
        <f t="shared" si="109"/>
        <v>#DIV/0!</v>
      </c>
      <c r="BE35" s="26" t="e">
        <f t="shared" si="109"/>
        <v>#DIV/0!</v>
      </c>
      <c r="BF35" s="26" t="e">
        <f t="shared" si="109"/>
        <v>#DIV/0!</v>
      </c>
      <c r="BG35" s="26" t="e">
        <f t="shared" si="109"/>
        <v>#DIV/0!</v>
      </c>
      <c r="BH35" s="26" t="e">
        <f t="shared" si="109"/>
        <v>#DIV/0!</v>
      </c>
      <c r="BI35" s="26" t="e">
        <f t="shared" si="109"/>
        <v>#DIV/0!</v>
      </c>
      <c r="BJ35" s="26" t="e">
        <f t="shared" si="109"/>
        <v>#DIV/0!</v>
      </c>
      <c r="BK35" s="26" t="e">
        <f t="shared" si="109"/>
        <v>#DIV/0!</v>
      </c>
      <c r="BL35" s="26" t="e">
        <f t="shared" si="109"/>
        <v>#DIV/0!</v>
      </c>
      <c r="BM35" s="26" t="e">
        <f t="shared" si="109"/>
        <v>#DIV/0!</v>
      </c>
      <c r="BN35" s="26" t="e">
        <f aca="true" t="shared" si="110" ref="BN35:DL35">MEDIAN(BN3:BN31)</f>
        <v>#DIV/0!</v>
      </c>
      <c r="BO35" s="26" t="e">
        <f t="shared" si="110"/>
        <v>#DIV/0!</v>
      </c>
      <c r="BP35" s="26" t="e">
        <f t="shared" si="110"/>
        <v>#DIV/0!</v>
      </c>
      <c r="BQ35" s="26" t="e">
        <f t="shared" si="110"/>
        <v>#DIV/0!</v>
      </c>
      <c r="BR35" s="26" t="e">
        <f t="shared" si="110"/>
        <v>#DIV/0!</v>
      </c>
      <c r="BS35" s="26" t="e">
        <f t="shared" si="110"/>
        <v>#DIV/0!</v>
      </c>
      <c r="BT35" s="26" t="e">
        <f t="shared" si="110"/>
        <v>#DIV/0!</v>
      </c>
      <c r="BU35" s="26" t="e">
        <f t="shared" si="110"/>
        <v>#DIV/0!</v>
      </c>
      <c r="BV35" s="26" t="e">
        <f t="shared" si="110"/>
        <v>#DIV/0!</v>
      </c>
      <c r="BW35" s="26" t="e">
        <f t="shared" si="110"/>
        <v>#DIV/0!</v>
      </c>
      <c r="BX35" s="26" t="e">
        <f t="shared" si="110"/>
        <v>#DIV/0!</v>
      </c>
      <c r="BY35" s="26" t="e">
        <f t="shared" si="110"/>
        <v>#DIV/0!</v>
      </c>
      <c r="BZ35" s="26" t="e">
        <f t="shared" si="110"/>
        <v>#DIV/0!</v>
      </c>
      <c r="CA35" s="26" t="e">
        <f t="shared" si="110"/>
        <v>#DIV/0!</v>
      </c>
      <c r="CB35" s="26" t="e">
        <f t="shared" si="110"/>
        <v>#DIV/0!</v>
      </c>
      <c r="CC35" s="26" t="e">
        <f t="shared" si="110"/>
        <v>#DIV/0!</v>
      </c>
      <c r="CD35" s="26" t="e">
        <f t="shared" si="110"/>
        <v>#DIV/0!</v>
      </c>
      <c r="CE35" s="26" t="e">
        <f t="shared" si="110"/>
        <v>#DIV/0!</v>
      </c>
      <c r="CF35" s="26" t="e">
        <f t="shared" si="110"/>
        <v>#DIV/0!</v>
      </c>
      <c r="CG35" s="26" t="e">
        <f t="shared" si="110"/>
        <v>#DIV/0!</v>
      </c>
      <c r="CH35" s="26" t="e">
        <f t="shared" si="110"/>
        <v>#DIV/0!</v>
      </c>
      <c r="CI35" s="26" t="e">
        <f t="shared" si="110"/>
        <v>#DIV/0!</v>
      </c>
      <c r="CJ35" s="90" t="e">
        <f t="shared" si="110"/>
        <v>#DIV/0!</v>
      </c>
      <c r="CK35" s="90" t="e">
        <f t="shared" si="110"/>
        <v>#DIV/0!</v>
      </c>
      <c r="CL35" s="90" t="e">
        <f t="shared" si="110"/>
        <v>#DIV/0!</v>
      </c>
      <c r="CM35" s="90" t="e">
        <f t="shared" si="110"/>
        <v>#DIV/0!</v>
      </c>
      <c r="CN35" s="90" t="e">
        <f t="shared" si="110"/>
        <v>#DIV/0!</v>
      </c>
      <c r="CO35" s="90" t="e">
        <f t="shared" si="110"/>
        <v>#DIV/0!</v>
      </c>
      <c r="CP35" s="90" t="e">
        <f t="shared" si="110"/>
        <v>#DIV/0!</v>
      </c>
      <c r="CQ35" s="90" t="e">
        <f t="shared" si="110"/>
        <v>#DIV/0!</v>
      </c>
      <c r="CR35" s="26" t="e">
        <f t="shared" si="110"/>
        <v>#DIV/0!</v>
      </c>
      <c r="CS35" s="26" t="e">
        <f t="shared" si="110"/>
        <v>#DIV/0!</v>
      </c>
      <c r="CT35" s="26" t="e">
        <f t="shared" si="110"/>
        <v>#DIV/0!</v>
      </c>
      <c r="CU35" s="26" t="e">
        <f t="shared" si="110"/>
        <v>#DIV/0!</v>
      </c>
      <c r="CV35" s="26" t="e">
        <f t="shared" si="110"/>
        <v>#DIV/0!</v>
      </c>
      <c r="CW35" s="26" t="e">
        <f t="shared" si="110"/>
        <v>#DIV/0!</v>
      </c>
      <c r="CX35" s="26" t="e">
        <f t="shared" si="110"/>
        <v>#DIV/0!</v>
      </c>
      <c r="CY35" s="26" t="e">
        <f t="shared" si="110"/>
        <v>#DIV/0!</v>
      </c>
      <c r="CZ35" s="26" t="e">
        <f t="shared" si="110"/>
        <v>#DIV/0!</v>
      </c>
      <c r="DA35" s="26" t="e">
        <f t="shared" si="110"/>
        <v>#DIV/0!</v>
      </c>
      <c r="DB35" s="26" t="e">
        <f t="shared" si="110"/>
        <v>#DIV/0!</v>
      </c>
      <c r="DC35" s="26" t="e">
        <f t="shared" si="110"/>
        <v>#DIV/0!</v>
      </c>
      <c r="DD35" s="26" t="e">
        <f t="shared" si="110"/>
        <v>#DIV/0!</v>
      </c>
      <c r="DE35" s="26" t="e">
        <f t="shared" si="110"/>
        <v>#DIV/0!</v>
      </c>
      <c r="DF35" s="26" t="e">
        <f t="shared" si="110"/>
        <v>#DIV/0!</v>
      </c>
      <c r="DG35" s="26" t="e">
        <f t="shared" si="110"/>
        <v>#DIV/0!</v>
      </c>
      <c r="DH35" s="26" t="e">
        <f t="shared" si="110"/>
        <v>#DIV/0!</v>
      </c>
      <c r="DI35" s="26" t="e">
        <f t="shared" si="110"/>
        <v>#DIV/0!</v>
      </c>
      <c r="DJ35" s="26" t="e">
        <f t="shared" si="110"/>
        <v>#DIV/0!</v>
      </c>
      <c r="DK35" s="26" t="e">
        <f t="shared" si="110"/>
        <v>#DIV/0!</v>
      </c>
      <c r="DL35" s="26">
        <f t="shared" si="110"/>
        <v>0</v>
      </c>
      <c r="DM35" s="27">
        <f>MEDIAN(DM3:DM31)</f>
        <v>0</v>
      </c>
      <c r="DN35" s="28">
        <f>MEDIAN(DN3:DN31)</f>
        <v>0</v>
      </c>
    </row>
    <row r="37" spans="1:119" ht="12.75">
      <c r="A37" s="3" t="s">
        <v>249</v>
      </c>
      <c r="B37" s="16">
        <f>SUM(B3:B31)</f>
        <v>0</v>
      </c>
      <c r="C37" s="16">
        <f>SUM(C3:C31)</f>
        <v>0</v>
      </c>
      <c r="D37" s="16" t="e">
        <f>D35</f>
        <v>#NUM!</v>
      </c>
      <c r="E37" s="150" t="e">
        <f>E35</f>
        <v>#NUM!</v>
      </c>
      <c r="F37" s="16">
        <f>SUM(F3:F31)</f>
        <v>304</v>
      </c>
      <c r="G37" s="16" t="e">
        <f aca="true" t="shared" si="111" ref="G37:BN37">SUM(G3:G31)</f>
        <v>#DIV/0!</v>
      </c>
      <c r="H37" s="16" t="e">
        <f t="shared" si="111"/>
        <v>#DIV/0!</v>
      </c>
      <c r="I37" s="16" t="e">
        <f t="shared" si="111"/>
        <v>#DIV/0!</v>
      </c>
      <c r="J37" s="16" t="e">
        <f t="shared" si="111"/>
        <v>#DIV/0!</v>
      </c>
      <c r="K37" s="16" t="e">
        <f t="shared" si="111"/>
        <v>#DIV/0!</v>
      </c>
      <c r="L37" s="16" t="e">
        <f t="shared" si="111"/>
        <v>#DIV/0!</v>
      </c>
      <c r="M37" s="16" t="e">
        <f t="shared" si="111"/>
        <v>#DIV/0!</v>
      </c>
      <c r="N37" s="16" t="e">
        <f t="shared" si="111"/>
        <v>#DIV/0!</v>
      </c>
      <c r="O37" s="16" t="e">
        <f t="shared" si="111"/>
        <v>#DIV/0!</v>
      </c>
      <c r="P37" s="16" t="e">
        <f t="shared" si="111"/>
        <v>#DIV/0!</v>
      </c>
      <c r="Q37" s="16" t="e">
        <f t="shared" si="111"/>
        <v>#DIV/0!</v>
      </c>
      <c r="R37" s="16" t="e">
        <f t="shared" si="111"/>
        <v>#DIV/0!</v>
      </c>
      <c r="S37" s="16" t="e">
        <f t="shared" si="111"/>
        <v>#DIV/0!</v>
      </c>
      <c r="T37" s="16" t="e">
        <f t="shared" si="111"/>
        <v>#DIV/0!</v>
      </c>
      <c r="U37" s="16" t="e">
        <f t="shared" si="111"/>
        <v>#DIV/0!</v>
      </c>
      <c r="V37" s="16" t="e">
        <f t="shared" si="111"/>
        <v>#DIV/0!</v>
      </c>
      <c r="W37" s="16" t="e">
        <f t="shared" si="111"/>
        <v>#DIV/0!</v>
      </c>
      <c r="X37" s="16" t="e">
        <f t="shared" si="111"/>
        <v>#DIV/0!</v>
      </c>
      <c r="Y37" s="16" t="e">
        <f t="shared" si="111"/>
        <v>#DIV/0!</v>
      </c>
      <c r="Z37" s="16" t="e">
        <f t="shared" si="111"/>
        <v>#DIV/0!</v>
      </c>
      <c r="AA37" s="16" t="e">
        <f t="shared" si="111"/>
        <v>#DIV/0!</v>
      </c>
      <c r="AB37" s="16" t="e">
        <f t="shared" si="111"/>
        <v>#DIV/0!</v>
      </c>
      <c r="AC37" s="16" t="e">
        <f t="shared" si="111"/>
        <v>#DIV/0!</v>
      </c>
      <c r="AD37" s="16" t="e">
        <f t="shared" si="111"/>
        <v>#DIV/0!</v>
      </c>
      <c r="AE37" s="16" t="e">
        <f t="shared" si="111"/>
        <v>#DIV/0!</v>
      </c>
      <c r="AF37" s="16" t="e">
        <f t="shared" si="111"/>
        <v>#DIV/0!</v>
      </c>
      <c r="AG37" s="16" t="e">
        <f t="shared" si="111"/>
        <v>#DIV/0!</v>
      </c>
      <c r="AH37" s="16" t="e">
        <f t="shared" si="111"/>
        <v>#DIV/0!</v>
      </c>
      <c r="AI37" s="16" t="e">
        <f t="shared" si="111"/>
        <v>#DIV/0!</v>
      </c>
      <c r="AJ37" s="16" t="e">
        <f t="shared" si="111"/>
        <v>#DIV/0!</v>
      </c>
      <c r="AK37" s="16" t="e">
        <f t="shared" si="111"/>
        <v>#DIV/0!</v>
      </c>
      <c r="AL37" s="16" t="e">
        <f t="shared" si="111"/>
        <v>#DIV/0!</v>
      </c>
      <c r="AM37" s="16" t="e">
        <f t="shared" si="111"/>
        <v>#DIV/0!</v>
      </c>
      <c r="AN37" s="16" t="e">
        <f t="shared" si="111"/>
        <v>#DIV/0!</v>
      </c>
      <c r="AO37" s="16" t="e">
        <f t="shared" si="111"/>
        <v>#DIV/0!</v>
      </c>
      <c r="AP37" s="16" t="e">
        <f t="shared" si="111"/>
        <v>#DIV/0!</v>
      </c>
      <c r="AQ37" s="16" t="e">
        <f t="shared" si="111"/>
        <v>#DIV/0!</v>
      </c>
      <c r="AR37" s="16" t="e">
        <f t="shared" si="111"/>
        <v>#DIV/0!</v>
      </c>
      <c r="AS37" s="16" t="e">
        <f t="shared" si="111"/>
        <v>#DIV/0!</v>
      </c>
      <c r="AT37" s="16" t="e">
        <f t="shared" si="111"/>
        <v>#DIV/0!</v>
      </c>
      <c r="AU37" s="16" t="e">
        <f t="shared" si="111"/>
        <v>#DIV/0!</v>
      </c>
      <c r="AV37" s="16" t="e">
        <f t="shared" si="111"/>
        <v>#DIV/0!</v>
      </c>
      <c r="AW37" s="16" t="e">
        <f t="shared" si="111"/>
        <v>#DIV/0!</v>
      </c>
      <c r="AX37" s="4" t="e">
        <f>Y37-AU37+AV37-AW37</f>
        <v>#DIV/0!</v>
      </c>
      <c r="AY37" s="16" t="e">
        <f t="shared" si="111"/>
        <v>#DIV/0!</v>
      </c>
      <c r="AZ37" s="16" t="e">
        <f t="shared" si="111"/>
        <v>#DIV/0!</v>
      </c>
      <c r="BA37" s="16" t="e">
        <f t="shared" si="111"/>
        <v>#DIV/0!</v>
      </c>
      <c r="BB37" s="16" t="e">
        <f t="shared" si="111"/>
        <v>#DIV/0!</v>
      </c>
      <c r="BC37" s="16" t="e">
        <f t="shared" si="111"/>
        <v>#DIV/0!</v>
      </c>
      <c r="BD37" s="16" t="e">
        <f t="shared" si="111"/>
        <v>#DIV/0!</v>
      </c>
      <c r="BE37" s="16" t="e">
        <f t="shared" si="111"/>
        <v>#DIV/0!</v>
      </c>
      <c r="BF37" s="16" t="e">
        <f t="shared" si="111"/>
        <v>#DIV/0!</v>
      </c>
      <c r="BG37" s="16" t="e">
        <f t="shared" si="111"/>
        <v>#DIV/0!</v>
      </c>
      <c r="BH37" s="16" t="e">
        <f t="shared" si="111"/>
        <v>#DIV/0!</v>
      </c>
      <c r="BI37" s="16" t="e">
        <f t="shared" si="111"/>
        <v>#DIV/0!</v>
      </c>
      <c r="BJ37" s="16" t="e">
        <f t="shared" si="111"/>
        <v>#DIV/0!</v>
      </c>
      <c r="BK37" s="16" t="e">
        <f t="shared" si="111"/>
        <v>#DIV/0!</v>
      </c>
      <c r="BL37" s="16" t="e">
        <f t="shared" si="111"/>
        <v>#DIV/0!</v>
      </c>
      <c r="BM37" s="16" t="e">
        <f t="shared" si="111"/>
        <v>#DIV/0!</v>
      </c>
      <c r="BN37" s="16" t="e">
        <f t="shared" si="111"/>
        <v>#DIV/0!</v>
      </c>
      <c r="BO37" s="16" t="e">
        <f>SUM(BO3:BO31)</f>
        <v>#DIV/0!</v>
      </c>
      <c r="BP37" s="16" t="e">
        <f>SUM(BP3:BP31)</f>
        <v>#DIV/0!</v>
      </c>
      <c r="BQ37" s="16" t="e">
        <f>SUM(BQ3:BQ31)</f>
        <v>#DIV/0!</v>
      </c>
      <c r="BR37" s="16" t="e">
        <f>SUM(BR3:BR31)</f>
        <v>#DIV/0!</v>
      </c>
      <c r="BS37" s="41" t="e">
        <f>+BF37-BO37+BP37+BQ37-BR37</f>
        <v>#DIV/0!</v>
      </c>
      <c r="BT37" s="16" t="e">
        <f aca="true" t="shared" si="112" ref="BT37:CB37">SUM(BT3:BT31)</f>
        <v>#DIV/0!</v>
      </c>
      <c r="BU37" s="16" t="e">
        <f t="shared" si="112"/>
        <v>#DIV/0!</v>
      </c>
      <c r="BV37" s="16" t="e">
        <f t="shared" si="112"/>
        <v>#DIV/0!</v>
      </c>
      <c r="BW37" s="16" t="e">
        <f t="shared" si="112"/>
        <v>#DIV/0!</v>
      </c>
      <c r="BX37" s="16" t="e">
        <f t="shared" si="112"/>
        <v>#DIV/0!</v>
      </c>
      <c r="BY37" s="16" t="e">
        <f t="shared" si="112"/>
        <v>#DIV/0!</v>
      </c>
      <c r="BZ37" s="16" t="e">
        <f t="shared" si="112"/>
        <v>#DIV/0!</v>
      </c>
      <c r="CA37" s="16" t="e">
        <f t="shared" si="112"/>
        <v>#DIV/0!</v>
      </c>
      <c r="CB37" s="16" t="e">
        <f t="shared" si="112"/>
        <v>#DIV/0!</v>
      </c>
      <c r="CC37" s="4" t="e">
        <f>BX37-CB37</f>
        <v>#DIV/0!</v>
      </c>
      <c r="CD37" s="70" t="e">
        <f>K37+L37+AV37-AW37</f>
        <v>#DIV/0!</v>
      </c>
      <c r="CE37" s="72" t="e">
        <f>CD37+W37-AS37</f>
        <v>#DIV/0!</v>
      </c>
      <c r="CF37" s="72" t="e">
        <f>BR37-BP37</f>
        <v>#DIV/0!</v>
      </c>
      <c r="CG37" s="72" t="e">
        <f>AU37-AM37-AT37-AS37</f>
        <v>#DIV/0!</v>
      </c>
      <c r="CH37" s="72" t="e">
        <f>I37-AG37+AY37+AH37+BQ37</f>
        <v>#DIV/0!</v>
      </c>
      <c r="CI37" s="35" t="e">
        <f>CH37+K37</f>
        <v>#DIV/0!</v>
      </c>
      <c r="CJ37" s="57" t="e">
        <f>CD37/CF37</f>
        <v>#DIV/0!</v>
      </c>
      <c r="CK37" s="140" t="e">
        <f>CE37/CF37</f>
        <v>#DIV/0!</v>
      </c>
      <c r="CL37" s="62" t="e">
        <f>CD37/CG37*1</f>
        <v>#DIV/0!</v>
      </c>
      <c r="CM37" s="62" t="e">
        <f>CE37/CG37</f>
        <v>#DIV/0!</v>
      </c>
      <c r="CN37" s="62" t="e">
        <f>CH37/CG37</f>
        <v>#DIV/0!</v>
      </c>
      <c r="CO37" s="62" t="e">
        <f>CI37/CG37</f>
        <v>#DIV/0!</v>
      </c>
      <c r="CP37" s="62" t="e">
        <f>(K37+L37)/(BU37+K37+L37)</f>
        <v>#DIV/0!</v>
      </c>
      <c r="CQ37" s="62" t="e">
        <f>(K37)/(BU37+K37+L37)</f>
        <v>#DIV/0!</v>
      </c>
      <c r="CR37" s="71" t="e">
        <f>CS37/CE37</f>
        <v>#DIV/0!</v>
      </c>
      <c r="CS37" s="72" t="e">
        <f>BT37-BY37</f>
        <v>#DIV/0!</v>
      </c>
      <c r="CT37" s="76" t="e">
        <f>Y37-K37-L37-V37</f>
        <v>#DIV/0!</v>
      </c>
      <c r="CU37" s="76" t="e">
        <f>AU37-AR37</f>
        <v>#DIV/0!</v>
      </c>
      <c r="CV37" s="76" t="e">
        <f>CU37-CT37</f>
        <v>#DIV/0!</v>
      </c>
      <c r="CW37" s="76" t="e">
        <f>-V37+AR37</f>
        <v>#DIV/0!</v>
      </c>
      <c r="CX37" s="76" t="e">
        <f>CV37+CW37</f>
        <v>#DIV/0!</v>
      </c>
      <c r="CY37" s="76" t="e">
        <f>CX37-K37-L37</f>
        <v>#DIV/0!</v>
      </c>
      <c r="CZ37" s="76" t="e">
        <f>BR37-BP37</f>
        <v>#DIV/0!</v>
      </c>
      <c r="DA37" s="76" t="e">
        <f>K37+L37</f>
        <v>#DIV/0!</v>
      </c>
      <c r="DB37" s="76" t="e">
        <f>-CZ37+DA37+CY37</f>
        <v>#DIV/0!</v>
      </c>
      <c r="DC37" s="76" t="e">
        <f>-BP37-DA37</f>
        <v>#DIV/0!</v>
      </c>
      <c r="DD37" s="76" t="e">
        <f>DB37+DC37+BR37</f>
        <v>#DIV/0!</v>
      </c>
      <c r="DE37" s="76" t="e">
        <f>Z37+AA37+AB37</f>
        <v>#DIV/0!</v>
      </c>
      <c r="DF37" s="76" t="e">
        <f>CS37/B37</f>
        <v>#DIV/0!</v>
      </c>
      <c r="DG37" s="76" t="e">
        <f>CH37/B37</f>
        <v>#DIV/0!</v>
      </c>
      <c r="DH37" s="76" t="e">
        <f>DE37/B37</f>
        <v>#DIV/0!</v>
      </c>
      <c r="DI37" s="77" t="e">
        <f>CZ37/B37</f>
        <v>#DIV/0!</v>
      </c>
      <c r="DJ37" s="72" t="e">
        <f>DB37/B37</f>
        <v>#DIV/0!</v>
      </c>
      <c r="DK37" s="151" t="e">
        <f>CA37-BW37-BU37</f>
        <v>#DIV/0!</v>
      </c>
      <c r="DL37" s="136">
        <f>SUM(DL32)</f>
        <v>0</v>
      </c>
      <c r="DM37" s="136">
        <f>SUM(DM32)</f>
        <v>0</v>
      </c>
      <c r="DN37" s="139"/>
      <c r="DO37" s="65"/>
    </row>
    <row r="38" spans="2:6" ht="12.75">
      <c r="B38" s="8"/>
      <c r="C38" s="8"/>
      <c r="D38" s="8"/>
      <c r="E38" s="8"/>
      <c r="F38" s="152"/>
    </row>
    <row r="40" spans="1:118" ht="12.75">
      <c r="A40" s="50" t="s">
        <v>13</v>
      </c>
      <c r="B40" s="41"/>
      <c r="C40" s="4"/>
      <c r="D40" s="66"/>
      <c r="E40" s="66"/>
      <c r="F40" s="8"/>
      <c r="G40" s="129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f>SUM(K40:L40)</f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f>SUM(R40:V40)</f>
        <v>0</v>
      </c>
      <c r="X40" s="41">
        <v>0</v>
      </c>
      <c r="Y40" s="41">
        <f>SUM(G40:X40)-M40-W40</f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f>SUM(Z40:AD40)</f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f>SUM(AN40:AR40)</f>
        <v>0</v>
      </c>
      <c r="AT40" s="4">
        <v>0</v>
      </c>
      <c r="AU40" s="4">
        <f>SUM(Z40:AT40)-AE40-AH40-AS40</f>
        <v>0</v>
      </c>
      <c r="AV40" s="4">
        <v>0</v>
      </c>
      <c r="AW40" s="4">
        <v>0</v>
      </c>
      <c r="AX40" s="4">
        <f>Y40-AU40+AV40-AW40</f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f>SUM(AZ40:BE40)</f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f>SUM(BG40:BN40)</f>
        <v>0</v>
      </c>
      <c r="BP40" s="41">
        <v>0</v>
      </c>
      <c r="BQ40" s="41">
        <v>0</v>
      </c>
      <c r="BR40" s="41">
        <v>0</v>
      </c>
      <c r="BS40" s="41">
        <f>+BF40-BO40+BP40+BQ40-BR40</f>
        <v>0</v>
      </c>
      <c r="BT40" s="4">
        <v>0</v>
      </c>
      <c r="BU40" s="4">
        <v>0</v>
      </c>
      <c r="BV40" s="4">
        <v>0</v>
      </c>
      <c r="BW40" s="4">
        <v>0</v>
      </c>
      <c r="BX40" s="4">
        <f>SUM(BT40:BW40)</f>
        <v>0</v>
      </c>
      <c r="BY40" s="4">
        <v>0</v>
      </c>
      <c r="BZ40" s="4">
        <v>0</v>
      </c>
      <c r="CA40" s="4">
        <v>0</v>
      </c>
      <c r="CB40" s="4">
        <f>SUM(BY40:CA40)</f>
        <v>0</v>
      </c>
      <c r="CC40" s="4">
        <f>BX40-CB40</f>
        <v>0</v>
      </c>
      <c r="CD40" s="70">
        <f>K40+L40+AV40-AW40</f>
        <v>0</v>
      </c>
      <c r="CE40" s="72">
        <f>CD40+W40-AS40</f>
        <v>0</v>
      </c>
      <c r="CF40" s="72">
        <f>BR40-BP40</f>
        <v>0</v>
      </c>
      <c r="CG40" s="72">
        <f>AU40-AM40-AT40-AS40</f>
        <v>0</v>
      </c>
      <c r="CH40" s="72">
        <f>I40-AG40+AY40+AH40+BQ40</f>
        <v>0</v>
      </c>
      <c r="CI40" s="35">
        <f>CH40+K40</f>
        <v>0</v>
      </c>
      <c r="CJ40" s="57" t="str">
        <f>IF(CF40=0,"-",(CD40/CF40))</f>
        <v>-</v>
      </c>
      <c r="CK40" s="57" t="str">
        <f>IF(CF40=0,"-",(CE40/CF40))</f>
        <v>-</v>
      </c>
      <c r="CL40" s="148" t="str">
        <f>IF(CG40=0,"-",(CD40/CG40*1))</f>
        <v>-</v>
      </c>
      <c r="CM40" s="148" t="str">
        <f>IF(CE40=0,"-",(CE40/CG40))</f>
        <v>-</v>
      </c>
      <c r="CN40" s="148" t="str">
        <f>IF(CG40=0,"-",(CH40/CG40))</f>
        <v>-</v>
      </c>
      <c r="CO40" s="148" t="str">
        <f>IF(CG40=0,"-",(CI40/CG40))</f>
        <v>-</v>
      </c>
      <c r="CP40" s="148" t="str">
        <f>IF(BU40+K40+L40=0,"-",((K40+L40)/(BU40+K40+L40)))</f>
        <v>-</v>
      </c>
      <c r="CQ40" s="148" t="str">
        <f>IF(BU40+K40+L40=0,"-",((K40)/(BU40+K40+L40)))</f>
        <v>-</v>
      </c>
      <c r="CR40" s="149" t="str">
        <f>IF(CE40=0,"-",(CS40/CE40))</f>
        <v>-</v>
      </c>
      <c r="CS40" s="72">
        <f>BT40-BY40</f>
        <v>0</v>
      </c>
      <c r="CT40" s="76">
        <f>Y40-K40-L40-V40</f>
        <v>0</v>
      </c>
      <c r="CU40" s="76">
        <f>AU40-AR40</f>
        <v>0</v>
      </c>
      <c r="CV40" s="76">
        <f>CU40-CT40</f>
        <v>0</v>
      </c>
      <c r="CW40" s="76">
        <f>-V40+AR40</f>
        <v>0</v>
      </c>
      <c r="CX40" s="76">
        <f>CV40+CW40</f>
        <v>0</v>
      </c>
      <c r="CY40" s="76">
        <f>CX40-K40-L40</f>
        <v>0</v>
      </c>
      <c r="CZ40" s="76">
        <f>BR40-BP40</f>
        <v>0</v>
      </c>
      <c r="DA40" s="76">
        <f>K40+L40</f>
        <v>0</v>
      </c>
      <c r="DB40" s="76">
        <f>-CZ40+DA40+CY40</f>
        <v>0</v>
      </c>
      <c r="DC40" s="76">
        <f>-BP40-DA40</f>
        <v>0</v>
      </c>
      <c r="DD40" s="76">
        <f>DB40+DC40+BR40</f>
        <v>0</v>
      </c>
      <c r="DE40" s="76">
        <f>Z40+AA40+AB40</f>
        <v>0</v>
      </c>
      <c r="DF40" s="76" t="e">
        <f>CS40/B40</f>
        <v>#DIV/0!</v>
      </c>
      <c r="DG40" s="76" t="e">
        <f>CH40/B40</f>
        <v>#DIV/0!</v>
      </c>
      <c r="DH40" s="76" t="e">
        <f>DE40/B40</f>
        <v>#DIV/0!</v>
      </c>
      <c r="DI40" s="77" t="e">
        <f>CZ40/B40</f>
        <v>#DIV/0!</v>
      </c>
      <c r="DJ40" s="72" t="e">
        <f>DB40/B40</f>
        <v>#DIV/0!</v>
      </c>
      <c r="DK40" s="151">
        <f>CA40-BW40-BU40</f>
        <v>0</v>
      </c>
      <c r="DL40" s="72">
        <v>0</v>
      </c>
      <c r="DM40" s="72">
        <v>0</v>
      </c>
      <c r="DN40" s="63">
        <v>0</v>
      </c>
    </row>
    <row r="41" spans="1:118" ht="12.75">
      <c r="A41" s="50" t="s">
        <v>218</v>
      </c>
      <c r="B41" s="41"/>
      <c r="C41" s="4"/>
      <c r="D41" s="66"/>
      <c r="E41" s="66"/>
      <c r="F41" s="8"/>
      <c r="G41" s="129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f>SUM(K41:L41)</f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f>SUM(R41:V41)</f>
        <v>0</v>
      </c>
      <c r="X41" s="41">
        <v>0</v>
      </c>
      <c r="Y41" s="41">
        <f>SUM(G41:X41)-M41-W41</f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f>SUM(Z41:AD41)</f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0</v>
      </c>
      <c r="AU41" s="4">
        <f>SUM(Z41:AT41)-AE41-AH41-AS41</f>
        <v>0</v>
      </c>
      <c r="AV41" s="4">
        <v>0</v>
      </c>
      <c r="AW41" s="4">
        <v>0</v>
      </c>
      <c r="AX41" s="4">
        <f>Y41-AU41+AV41-AW41</f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f>SUM(AZ41:BE41)</f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f>SUM(BG41:BN41)</f>
        <v>0</v>
      </c>
      <c r="BP41" s="41">
        <v>0</v>
      </c>
      <c r="BQ41" s="41">
        <v>0</v>
      </c>
      <c r="BR41" s="41">
        <v>0</v>
      </c>
      <c r="BS41" s="41">
        <f>+BF41-BO41+BP41+BQ41-BR41</f>
        <v>0</v>
      </c>
      <c r="BT41" s="4">
        <v>0</v>
      </c>
      <c r="BU41" s="4">
        <v>0</v>
      </c>
      <c r="BV41" s="4">
        <v>0</v>
      </c>
      <c r="BW41" s="4">
        <v>0</v>
      </c>
      <c r="BX41" s="4">
        <f>SUM(BT41:BW41)</f>
        <v>0</v>
      </c>
      <c r="BY41" s="4">
        <v>0</v>
      </c>
      <c r="BZ41" s="4">
        <v>0</v>
      </c>
      <c r="CA41" s="4">
        <v>0</v>
      </c>
      <c r="CB41" s="4">
        <f>SUM(BY41:CA41)</f>
        <v>0</v>
      </c>
      <c r="CC41" s="4">
        <f>BX41-CB41</f>
        <v>0</v>
      </c>
      <c r="CD41" s="70">
        <f>K41+L41+AV41-AW41</f>
        <v>0</v>
      </c>
      <c r="CE41" s="72">
        <f>CD41+W41-AS41</f>
        <v>0</v>
      </c>
      <c r="CF41" s="72">
        <f>BR41-BP41</f>
        <v>0</v>
      </c>
      <c r="CG41" s="72">
        <f>AU41-AM41-AT41-AS41</f>
        <v>0</v>
      </c>
      <c r="CH41" s="72">
        <f>I41-AG41+AY41+AH41+BQ41</f>
        <v>0</v>
      </c>
      <c r="CI41" s="35">
        <f>CH41+K41</f>
        <v>0</v>
      </c>
      <c r="CJ41" s="57" t="str">
        <f>IF(CF41=0,"-",(CD41/CF41))</f>
        <v>-</v>
      </c>
      <c r="CK41" s="57" t="str">
        <f>IF(CF41=0,"-",(CE41/CF41))</f>
        <v>-</v>
      </c>
      <c r="CL41" s="148" t="str">
        <f>IF(CG41=0,"-",(CD41/CG41*1))</f>
        <v>-</v>
      </c>
      <c r="CM41" s="148" t="str">
        <f>IF(CE41=0,"-",(CE41/CG41))</f>
        <v>-</v>
      </c>
      <c r="CN41" s="148" t="str">
        <f>IF(CG41=0,"-",(CH41/CG41))</f>
        <v>-</v>
      </c>
      <c r="CO41" s="148" t="str">
        <f>IF(CG41=0,"-",(CI41/CG41))</f>
        <v>-</v>
      </c>
      <c r="CP41" s="148" t="str">
        <f>IF(BU41+K41+L41=0,"-",((K41+L41)/(BU41+K41+L41)))</f>
        <v>-</v>
      </c>
      <c r="CQ41" s="148" t="str">
        <f>IF(BU41+K41+L41=0,"-",((K41)/(BU41+K41+L41)))</f>
        <v>-</v>
      </c>
      <c r="CR41" s="149" t="str">
        <f>IF(CE41=0,"-",(CS41/CE41))</f>
        <v>-</v>
      </c>
      <c r="CS41" s="72">
        <f>BT41-BY41</f>
        <v>0</v>
      </c>
      <c r="CT41" s="76">
        <f>Y41-K41-L41-V41</f>
        <v>0</v>
      </c>
      <c r="CU41" s="76">
        <f>AU41-AR41</f>
        <v>0</v>
      </c>
      <c r="CV41" s="76">
        <f>CU41-CT41</f>
        <v>0</v>
      </c>
      <c r="CW41" s="76">
        <f>-V41+AR41</f>
        <v>0</v>
      </c>
      <c r="CX41" s="76">
        <f>CV41+CW41</f>
        <v>0</v>
      </c>
      <c r="CY41" s="76">
        <f>CX41-K41-L41</f>
        <v>0</v>
      </c>
      <c r="CZ41" s="76">
        <f>BR41-BP41</f>
        <v>0</v>
      </c>
      <c r="DA41" s="76">
        <f>K41+L41</f>
        <v>0</v>
      </c>
      <c r="DB41" s="76">
        <f>-CZ41+DA41+CY41</f>
        <v>0</v>
      </c>
      <c r="DC41" s="76">
        <f>-BP41-DA41</f>
        <v>0</v>
      </c>
      <c r="DD41" s="76">
        <f>DB41+DC41+BR41</f>
        <v>0</v>
      </c>
      <c r="DE41" s="76">
        <f>Z41+AA41+AB41</f>
        <v>0</v>
      </c>
      <c r="DF41" s="76" t="e">
        <f>CS41/B41</f>
        <v>#DIV/0!</v>
      </c>
      <c r="DG41" s="76" t="e">
        <f>CH41/B41</f>
        <v>#DIV/0!</v>
      </c>
      <c r="DH41" s="76" t="e">
        <f>DE41/B41</f>
        <v>#DIV/0!</v>
      </c>
      <c r="DI41" s="77" t="e">
        <f>CZ41/B41</f>
        <v>#DIV/0!</v>
      </c>
      <c r="DJ41" s="72" t="e">
        <f>DB41/B41</f>
        <v>#DIV/0!</v>
      </c>
      <c r="DK41" s="151">
        <f>CA41-BW41-BU41</f>
        <v>0</v>
      </c>
      <c r="DL41" s="72">
        <v>0</v>
      </c>
      <c r="DM41" s="72">
        <v>0</v>
      </c>
      <c r="DN41" s="63">
        <v>0</v>
      </c>
    </row>
    <row r="42" spans="1:118" ht="12.75">
      <c r="A42" s="3" t="s">
        <v>220</v>
      </c>
      <c r="B42" s="134">
        <f>B11+B27</f>
        <v>0</v>
      </c>
      <c r="C42" s="146">
        <f>C11+C27</f>
        <v>0</v>
      </c>
      <c r="D42" s="145">
        <f>D11+D27</f>
        <v>0</v>
      </c>
      <c r="E42" s="145" t="e">
        <f>((E11*B11)+(E27*B27))/B42</f>
        <v>#DIV/0!</v>
      </c>
      <c r="F42" s="146">
        <f>F11</f>
        <v>14</v>
      </c>
      <c r="G42" s="129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f>SUM(K42:L42)</f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f>SUM(R42:V42)</f>
        <v>0</v>
      </c>
      <c r="X42" s="41">
        <v>0</v>
      </c>
      <c r="Y42" s="41">
        <f>SUM(G42:X42)-M42-W42</f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f>SUM(Z42:AD42)</f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f>SUM(AN42:AR42)</f>
        <v>0</v>
      </c>
      <c r="AT42" s="4">
        <v>0</v>
      </c>
      <c r="AU42" s="4">
        <f>SUM(Z42:AT42)-AE42-AH42-AS42</f>
        <v>0</v>
      </c>
      <c r="AV42" s="4">
        <v>0</v>
      </c>
      <c r="AW42" s="4">
        <v>0</v>
      </c>
      <c r="AX42" s="4">
        <f>Y42-AU42+AV42-AW42</f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f>SUM(AZ42:BE42)</f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f>SUM(BG42:BN42)</f>
        <v>0</v>
      </c>
      <c r="BP42" s="41">
        <v>0</v>
      </c>
      <c r="BQ42" s="41">
        <v>0</v>
      </c>
      <c r="BR42" s="41">
        <v>0</v>
      </c>
      <c r="BS42" s="41">
        <f>+BF42-BO42+BP42+BQ42-BR42</f>
        <v>0</v>
      </c>
      <c r="BT42" s="4">
        <v>0</v>
      </c>
      <c r="BU42" s="4">
        <v>0</v>
      </c>
      <c r="BV42" s="4">
        <v>0</v>
      </c>
      <c r="BW42" s="4">
        <v>0</v>
      </c>
      <c r="BX42" s="4">
        <f>SUM(BT42:BW42)</f>
        <v>0</v>
      </c>
      <c r="BY42" s="4">
        <v>0</v>
      </c>
      <c r="BZ42" s="4">
        <v>0</v>
      </c>
      <c r="CA42" s="4">
        <v>0</v>
      </c>
      <c r="CB42" s="4">
        <f>SUM(BY42:CA42)</f>
        <v>0</v>
      </c>
      <c r="CC42" s="4">
        <f>BX42-CB42</f>
        <v>0</v>
      </c>
      <c r="CD42" s="70">
        <f>K42+L42+AV42-AW42</f>
        <v>0</v>
      </c>
      <c r="CE42" s="72">
        <f>CD42+W42-AS42</f>
        <v>0</v>
      </c>
      <c r="CF42" s="72">
        <f>BR42-BP42</f>
        <v>0</v>
      </c>
      <c r="CG42" s="72">
        <f>AU42-AM42-AT42-AS42</f>
        <v>0</v>
      </c>
      <c r="CH42" s="72">
        <f>I42-AG42+AY42+AH42+BQ42</f>
        <v>0</v>
      </c>
      <c r="CI42" s="35">
        <f>CH42+K42</f>
        <v>0</v>
      </c>
      <c r="CJ42" s="57" t="str">
        <f>IF(CF42=0,"-",(CD42/CF42))</f>
        <v>-</v>
      </c>
      <c r="CK42" s="57" t="str">
        <f>IF(CF42=0,"-",(CE42/CF42))</f>
        <v>-</v>
      </c>
      <c r="CL42" s="148" t="str">
        <f>IF(CG42=0,"-",(CD42/CG42*1))</f>
        <v>-</v>
      </c>
      <c r="CM42" s="148" t="str">
        <f>IF(CE42=0,"-",(CE42/CG42))</f>
        <v>-</v>
      </c>
      <c r="CN42" s="148" t="str">
        <f>IF(CG42=0,"-",(CH42/CG42))</f>
        <v>-</v>
      </c>
      <c r="CO42" s="148" t="str">
        <f>IF(CG42=0,"-",(CI42/CG42))</f>
        <v>-</v>
      </c>
      <c r="CP42" s="148" t="str">
        <f>IF(BU42+K42+L42=0,"-",((K42+L42)/(BU42+K42+L42)))</f>
        <v>-</v>
      </c>
      <c r="CQ42" s="148" t="str">
        <f>IF(BU42+K42+L42=0,"-",((K42)/(BU42+K42+L42)))</f>
        <v>-</v>
      </c>
      <c r="CR42" s="149" t="str">
        <f>IF(CE42=0,"-",(CS42/CE42))</f>
        <v>-</v>
      </c>
      <c r="CS42" s="72">
        <f>BT42-BY42</f>
        <v>0</v>
      </c>
      <c r="CT42" s="76">
        <f>Y42-K42-L42-V42</f>
        <v>0</v>
      </c>
      <c r="CU42" s="76">
        <f>AU42-AR42</f>
        <v>0</v>
      </c>
      <c r="CV42" s="76">
        <f>CU42-CT42</f>
        <v>0</v>
      </c>
      <c r="CW42" s="76">
        <f>-V42+AR42</f>
        <v>0</v>
      </c>
      <c r="CX42" s="76">
        <f>CV42+CW42</f>
        <v>0</v>
      </c>
      <c r="CY42" s="76">
        <f>CX42-K42-L42</f>
        <v>0</v>
      </c>
      <c r="CZ42" s="76">
        <f>BR42-BP42</f>
        <v>0</v>
      </c>
      <c r="DA42" s="76">
        <f>K42+L42</f>
        <v>0</v>
      </c>
      <c r="DB42" s="76">
        <f>-CZ42+DA42+CY42</f>
        <v>0</v>
      </c>
      <c r="DC42" s="76">
        <f>-BP42-DA42</f>
        <v>0</v>
      </c>
      <c r="DD42" s="76">
        <f>DB42+DC42+BR42</f>
        <v>0</v>
      </c>
      <c r="DE42" s="76">
        <f>Z42+AA42+AB42</f>
        <v>0</v>
      </c>
      <c r="DF42" s="76" t="e">
        <f>CS42/B42</f>
        <v>#DIV/0!</v>
      </c>
      <c r="DG42" s="76" t="e">
        <f>CH42/B42</f>
        <v>#DIV/0!</v>
      </c>
      <c r="DH42" s="76" t="e">
        <f>DE42/B42</f>
        <v>#DIV/0!</v>
      </c>
      <c r="DI42" s="77" t="e">
        <f>CZ42/B42</f>
        <v>#DIV/0!</v>
      </c>
      <c r="DJ42" s="72" t="e">
        <f>DB42/B42</f>
        <v>#DIV/0!</v>
      </c>
      <c r="DK42" s="151">
        <f>CA42-BW42-BU42</f>
        <v>0</v>
      </c>
      <c r="DL42" s="72">
        <v>0</v>
      </c>
      <c r="DM42" s="72">
        <v>0</v>
      </c>
      <c r="DN42" s="63">
        <v>0</v>
      </c>
    </row>
    <row r="43" spans="1:118" ht="12.75">
      <c r="A43" s="3" t="s">
        <v>221</v>
      </c>
      <c r="B43" s="134">
        <f>B12+B14+B23</f>
        <v>0</v>
      </c>
      <c r="G43" s="129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f>SUM(K43:L43)</f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f>SUM(R43:V43)</f>
        <v>0</v>
      </c>
      <c r="X43" s="41">
        <v>0</v>
      </c>
      <c r="Y43" s="41">
        <f>SUM(G43:X43)-M43-W43</f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f>SUM(Z43:AD43)</f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f>SUM(AN43:AR43)</f>
        <v>0</v>
      </c>
      <c r="AT43" s="4">
        <v>0</v>
      </c>
      <c r="AU43" s="4">
        <f>SUM(Z43:AT43)-AE43-AH43-AS43</f>
        <v>0</v>
      </c>
      <c r="AV43" s="4">
        <v>0</v>
      </c>
      <c r="AW43" s="4">
        <v>0</v>
      </c>
      <c r="AX43" s="4">
        <f>Y43-AU43+AV43-AW43</f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f>SUM(AZ43:BE43)</f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f>SUM(BG43:BN43)</f>
        <v>0</v>
      </c>
      <c r="BP43" s="41">
        <v>0</v>
      </c>
      <c r="BQ43" s="41">
        <v>0</v>
      </c>
      <c r="BR43" s="41">
        <v>0</v>
      </c>
      <c r="BS43" s="41">
        <f>+BF43-BO43+BP43+BQ43-BR43</f>
        <v>0</v>
      </c>
      <c r="BT43" s="4">
        <v>0</v>
      </c>
      <c r="BU43" s="4">
        <v>0</v>
      </c>
      <c r="BV43" s="4">
        <v>0</v>
      </c>
      <c r="BW43" s="4">
        <v>0</v>
      </c>
      <c r="BX43" s="4">
        <f>SUM(BT43:BW43)</f>
        <v>0</v>
      </c>
      <c r="BY43" s="4">
        <v>0</v>
      </c>
      <c r="BZ43" s="4">
        <v>0</v>
      </c>
      <c r="CA43" s="4">
        <v>0</v>
      </c>
      <c r="CB43" s="4">
        <f>SUM(BY43:CA43)</f>
        <v>0</v>
      </c>
      <c r="CC43" s="4">
        <f>BX43-CB43</f>
        <v>0</v>
      </c>
      <c r="CD43" s="70">
        <f>K43+L43+AV43-AW43</f>
        <v>0</v>
      </c>
      <c r="CE43" s="72">
        <f>CD43+W43-AS43</f>
        <v>0</v>
      </c>
      <c r="CF43" s="72">
        <f>BR43-BP43</f>
        <v>0</v>
      </c>
      <c r="CG43" s="72">
        <f>AU43-AM43-AT43-AS43</f>
        <v>0</v>
      </c>
      <c r="CH43" s="72">
        <f>I43-AG43+AY43+AH43+BQ43</f>
        <v>0</v>
      </c>
      <c r="CI43" s="35">
        <f>CH43+K43</f>
        <v>0</v>
      </c>
      <c r="CJ43" s="57" t="str">
        <f>IF(CF43=0,"-",(CD43/CF43))</f>
        <v>-</v>
      </c>
      <c r="CK43" s="57" t="str">
        <f>IF(CF43=0,"-",(CE43/CF43))</f>
        <v>-</v>
      </c>
      <c r="CL43" s="148" t="str">
        <f>IF(CG43=0,"-",(CD43/CG43*1))</f>
        <v>-</v>
      </c>
      <c r="CM43" s="148" t="str">
        <f>IF(CE43=0,"-",(CE43/CG43))</f>
        <v>-</v>
      </c>
      <c r="CN43" s="148" t="str">
        <f>IF(CG43=0,"-",(CH43/CG43))</f>
        <v>-</v>
      </c>
      <c r="CO43" s="148" t="str">
        <f>IF(CG43=0,"-",(CI43/CG43))</f>
        <v>-</v>
      </c>
      <c r="CP43" s="148" t="str">
        <f>IF(BU43+K43+L43=0,"-",((K43+L43)/(BU43+K43+L43)))</f>
        <v>-</v>
      </c>
      <c r="CQ43" s="148" t="str">
        <f>IF(BU43+K43+L43=0,"-",((K43)/(BU43+K43+L43)))</f>
        <v>-</v>
      </c>
      <c r="CR43" s="149" t="str">
        <f>IF(CE43=0,"-",(CS43/CE43))</f>
        <v>-</v>
      </c>
      <c r="CS43" s="72">
        <f>BT43-BY43</f>
        <v>0</v>
      </c>
      <c r="CT43" s="76">
        <f>Y43-K43-L43-V43</f>
        <v>0</v>
      </c>
      <c r="CU43" s="76">
        <f>AU43-AR43</f>
        <v>0</v>
      </c>
      <c r="CV43" s="76">
        <f>CU43-CT43</f>
        <v>0</v>
      </c>
      <c r="CW43" s="76">
        <f>-V43+AR43</f>
        <v>0</v>
      </c>
      <c r="CX43" s="76">
        <f>CV43+CW43</f>
        <v>0</v>
      </c>
      <c r="CY43" s="76">
        <f>CX43-K43-L43</f>
        <v>0</v>
      </c>
      <c r="CZ43" s="76">
        <f>BR43-BP43</f>
        <v>0</v>
      </c>
      <c r="DA43" s="76">
        <f>K43+L43</f>
        <v>0</v>
      </c>
      <c r="DB43" s="76">
        <f>-CZ43+DA43+CY43</f>
        <v>0</v>
      </c>
      <c r="DC43" s="76">
        <f>-BP43-DA43</f>
        <v>0</v>
      </c>
      <c r="DD43" s="76">
        <f>DB43+DC43+BR43</f>
        <v>0</v>
      </c>
      <c r="DE43" s="76">
        <f>Z43+AA43+AB43</f>
        <v>0</v>
      </c>
      <c r="DF43" s="76" t="e">
        <f>CS43/B43</f>
        <v>#DIV/0!</v>
      </c>
      <c r="DG43" s="76" t="e">
        <f>CH43/B43</f>
        <v>#DIV/0!</v>
      </c>
      <c r="DH43" s="76" t="e">
        <f>DE43/B43</f>
        <v>#DIV/0!</v>
      </c>
      <c r="DI43" s="77" t="e">
        <f>CZ43/B43</f>
        <v>#DIV/0!</v>
      </c>
      <c r="DJ43" s="72" t="e">
        <f>DB43/B43</f>
        <v>#DIV/0!</v>
      </c>
      <c r="DK43" s="151">
        <f>CA43-BW43-BU43</f>
        <v>0</v>
      </c>
      <c r="DL43" s="72">
        <v>0</v>
      </c>
      <c r="DM43" s="72">
        <v>0</v>
      </c>
      <c r="DN43" s="63">
        <v>0</v>
      </c>
    </row>
    <row r="44" spans="1:118" ht="12.75">
      <c r="A44" s="3" t="s">
        <v>222</v>
      </c>
      <c r="B44" s="134">
        <f>B13+B16</f>
        <v>0</v>
      </c>
      <c r="G44" s="129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f>SUM(K44:L44)</f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f>SUM(R44:V44)</f>
        <v>0</v>
      </c>
      <c r="X44" s="41">
        <v>0</v>
      </c>
      <c r="Y44" s="41">
        <f>SUM(G44:X44)-M44-W44</f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f>SUM(Z44:AD44)</f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f>SUM(AN44:AR44)</f>
        <v>0</v>
      </c>
      <c r="AT44" s="4">
        <v>0</v>
      </c>
      <c r="AU44" s="4">
        <f>SUM(Z44:AT44)-AE44-AH44-AS44</f>
        <v>0</v>
      </c>
      <c r="AV44" s="4">
        <v>0</v>
      </c>
      <c r="AW44" s="4">
        <v>0</v>
      </c>
      <c r="AX44" s="4">
        <f>Y44-AU44+AV44-AW44</f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f>SUM(AZ44:BE44)</f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f>SUM(BG44:BN44)</f>
        <v>0</v>
      </c>
      <c r="BP44" s="41">
        <v>0</v>
      </c>
      <c r="BQ44" s="41">
        <v>0</v>
      </c>
      <c r="BR44" s="41">
        <v>0</v>
      </c>
      <c r="BS44" s="41">
        <f>+BF44-BO44+BP44+BQ44-BR44</f>
        <v>0</v>
      </c>
      <c r="BT44" s="4">
        <v>0</v>
      </c>
      <c r="BU44" s="4">
        <v>0</v>
      </c>
      <c r="BV44" s="4">
        <v>0</v>
      </c>
      <c r="BW44" s="4">
        <v>0</v>
      </c>
      <c r="BX44" s="4">
        <f>SUM(BT44:BW44)</f>
        <v>0</v>
      </c>
      <c r="BY44" s="4">
        <v>0</v>
      </c>
      <c r="BZ44" s="4">
        <v>0</v>
      </c>
      <c r="CA44" s="4">
        <v>0</v>
      </c>
      <c r="CB44" s="4">
        <f>SUM(BY44:CA44)</f>
        <v>0</v>
      </c>
      <c r="CC44" s="4">
        <f>BX44-CB44</f>
        <v>0</v>
      </c>
      <c r="CD44" s="70">
        <f>K44+L44+AV44-AW44</f>
        <v>0</v>
      </c>
      <c r="CE44" s="72">
        <f>CD44+W44-AS44</f>
        <v>0</v>
      </c>
      <c r="CF44" s="72">
        <f>BR44-BP44</f>
        <v>0</v>
      </c>
      <c r="CG44" s="72">
        <f>AU44-AM44-AT44-AS44</f>
        <v>0</v>
      </c>
      <c r="CH44" s="72">
        <f>I44-AG44+AY44+AH44+BQ44</f>
        <v>0</v>
      </c>
      <c r="CI44" s="35">
        <f>CH44+K44</f>
        <v>0</v>
      </c>
      <c r="CJ44" s="57" t="str">
        <f>IF(CF44=0,"-",(CD44/CF44))</f>
        <v>-</v>
      </c>
      <c r="CK44" s="57" t="str">
        <f>IF(CF44=0,"-",(CE44/CF44))</f>
        <v>-</v>
      </c>
      <c r="CL44" s="148" t="str">
        <f>IF(CG44=0,"-",(CD44/CG44*1))</f>
        <v>-</v>
      </c>
      <c r="CM44" s="148" t="str">
        <f>IF(CE44=0,"-",(CE44/CG44))</f>
        <v>-</v>
      </c>
      <c r="CN44" s="148" t="str">
        <f>IF(CG44=0,"-",(CH44/CG44))</f>
        <v>-</v>
      </c>
      <c r="CO44" s="148" t="str">
        <f>IF(CG44=0,"-",(CI44/CG44))</f>
        <v>-</v>
      </c>
      <c r="CP44" s="148" t="str">
        <f>IF(BU44+K44+L44=0,"-",((K44+L44)/(BU44+K44+L44)))</f>
        <v>-</v>
      </c>
      <c r="CQ44" s="148" t="str">
        <f>IF(BU44+K44+L44=0,"-",((K44)/(BU44+K44+L44)))</f>
        <v>-</v>
      </c>
      <c r="CR44" s="149" t="str">
        <f>IF(CE44=0,"-",(CS44/CE44))</f>
        <v>-</v>
      </c>
      <c r="CS44" s="72">
        <f>BT44-BY44</f>
        <v>0</v>
      </c>
      <c r="CT44" s="76">
        <f>Y44-K44-L44-V44</f>
        <v>0</v>
      </c>
      <c r="CU44" s="76">
        <f>AU44-AR44</f>
        <v>0</v>
      </c>
      <c r="CV44" s="76">
        <f>CU44-CT44</f>
        <v>0</v>
      </c>
      <c r="CW44" s="76">
        <f>-V44+AR44</f>
        <v>0</v>
      </c>
      <c r="CX44" s="76">
        <f>CV44+CW44</f>
        <v>0</v>
      </c>
      <c r="CY44" s="76">
        <f>CX44-K44-L44</f>
        <v>0</v>
      </c>
      <c r="CZ44" s="76">
        <f>BR44-BP44</f>
        <v>0</v>
      </c>
      <c r="DA44" s="76">
        <f>K44+L44</f>
        <v>0</v>
      </c>
      <c r="DB44" s="76">
        <f>-CZ44+DA44+CY44</f>
        <v>0</v>
      </c>
      <c r="DC44" s="76">
        <f>-BP44-DA44</f>
        <v>0</v>
      </c>
      <c r="DD44" s="76">
        <f>DB44+DC44+BR44</f>
        <v>0</v>
      </c>
      <c r="DE44" s="76">
        <f>Z44+AA44+AB44</f>
        <v>0</v>
      </c>
      <c r="DF44" s="76" t="e">
        <f>CS44/B44</f>
        <v>#DIV/0!</v>
      </c>
      <c r="DG44" s="76" t="e">
        <f>CH44/B44</f>
        <v>#DIV/0!</v>
      </c>
      <c r="DH44" s="76" t="e">
        <f>DE44/B44</f>
        <v>#DIV/0!</v>
      </c>
      <c r="DI44" s="77" t="e">
        <f>CZ44/B44</f>
        <v>#DIV/0!</v>
      </c>
      <c r="DJ44" s="72" t="e">
        <f>DB44/B44</f>
        <v>#DIV/0!</v>
      </c>
      <c r="DK44" s="151">
        <f>CA44-BW44-BU44</f>
        <v>0</v>
      </c>
      <c r="DL44" s="72">
        <v>0</v>
      </c>
      <c r="DM44" s="72">
        <v>0</v>
      </c>
      <c r="DN44" s="63">
        <v>0</v>
      </c>
    </row>
    <row r="46" spans="1:118" ht="12.75">
      <c r="A46" s="3" t="s">
        <v>252</v>
      </c>
      <c r="B46" s="134">
        <f>B8</f>
        <v>0</v>
      </c>
      <c r="C46" s="141"/>
      <c r="D46" s="141"/>
      <c r="E46" s="141"/>
      <c r="F46" s="141"/>
      <c r="G46" s="129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f>SUM(K46:L46)</f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f>SUM(R46:V46)</f>
        <v>0</v>
      </c>
      <c r="X46" s="41">
        <v>0</v>
      </c>
      <c r="Y46" s="41">
        <f>SUM(G46:X46)-M46-W46</f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f>SUM(Z46:AD46)</f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f>SUM(AN46:AR46)</f>
        <v>0</v>
      </c>
      <c r="AT46" s="4">
        <v>0</v>
      </c>
      <c r="AU46" s="4">
        <f>SUM(Z46:AT46)-AE46-AH46-AS46</f>
        <v>0</v>
      </c>
      <c r="AV46" s="4">
        <v>0</v>
      </c>
      <c r="AW46" s="4">
        <v>0</v>
      </c>
      <c r="AX46" s="4">
        <f>Y46-AU46+AV46-AW46</f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f>SUM(AZ46:BE46)</f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f>SUM(BG46:BN46)</f>
        <v>0</v>
      </c>
      <c r="BP46" s="41">
        <v>0</v>
      </c>
      <c r="BQ46" s="41">
        <v>0</v>
      </c>
      <c r="BR46" s="41">
        <v>0</v>
      </c>
      <c r="BS46" s="41">
        <f>+BF46-BO46+BP46+BQ46-BR46</f>
        <v>0</v>
      </c>
      <c r="BT46" s="4">
        <v>0</v>
      </c>
      <c r="BU46" s="4">
        <v>0</v>
      </c>
      <c r="BV46" s="4">
        <v>0</v>
      </c>
      <c r="BW46" s="4">
        <v>0</v>
      </c>
      <c r="BX46" s="4">
        <f>SUM(BT46:BW46)</f>
        <v>0</v>
      </c>
      <c r="BY46" s="4">
        <v>0</v>
      </c>
      <c r="BZ46" s="4">
        <v>0</v>
      </c>
      <c r="CA46" s="4">
        <v>0</v>
      </c>
      <c r="CB46" s="4">
        <f>SUM(BY46:CA46)</f>
        <v>0</v>
      </c>
      <c r="CC46" s="4">
        <f>BX46-CB46</f>
        <v>0</v>
      </c>
      <c r="CD46" s="70">
        <f>K46+L46+AV46-AW46</f>
        <v>0</v>
      </c>
      <c r="CE46" s="72">
        <f>CD46+W46-AS46</f>
        <v>0</v>
      </c>
      <c r="CF46" s="72">
        <f>BR46-BP46</f>
        <v>0</v>
      </c>
      <c r="CG46" s="72">
        <f>AU46-AM46-AT46-AS46</f>
        <v>0</v>
      </c>
      <c r="CH46" s="72">
        <f>I46-AG46+AY46+AH46+BQ46</f>
        <v>0</v>
      </c>
      <c r="CI46" s="35">
        <f>CH46+K46</f>
        <v>0</v>
      </c>
      <c r="CJ46" s="57" t="str">
        <f>IF(CF46=0,"-",(CD46/CF46))</f>
        <v>-</v>
      </c>
      <c r="CK46" s="57" t="str">
        <f>IF(CF46=0,"-",(CE46/CF46))</f>
        <v>-</v>
      </c>
      <c r="CL46" s="148" t="str">
        <f>IF(CG46=0,"-",(CD46/CG46*1))</f>
        <v>-</v>
      </c>
      <c r="CM46" s="148" t="str">
        <f>IF(CE46=0,"-",(CE46/CG46))</f>
        <v>-</v>
      </c>
      <c r="CN46" s="148" t="str">
        <f>IF(CG46=0,"-",(CH46/CG46))</f>
        <v>-</v>
      </c>
      <c r="CO46" s="148" t="str">
        <f>IF(CG46=0,"-",(CI46/CG46))</f>
        <v>-</v>
      </c>
      <c r="CP46" s="148" t="str">
        <f>IF(BU46+K46+L46=0,"-",((K46+L46)/(BU46+K46+L46)))</f>
        <v>-</v>
      </c>
      <c r="CQ46" s="148" t="str">
        <f>IF(BU46+K46+L46=0,"-",((K46)/(BU46+K46+L46)))</f>
        <v>-</v>
      </c>
      <c r="CR46" s="149" t="str">
        <f>IF(CE46=0,"-",(CS46/CE46))</f>
        <v>-</v>
      </c>
      <c r="CS46" s="72">
        <f>BT46-BY46</f>
        <v>0</v>
      </c>
      <c r="CT46" s="76">
        <f>Y46-K46-L46-V46</f>
        <v>0</v>
      </c>
      <c r="CU46" s="76">
        <f>AU46-AR46</f>
        <v>0</v>
      </c>
      <c r="CV46" s="76">
        <f>CU46-CT46</f>
        <v>0</v>
      </c>
      <c r="CW46" s="76">
        <f>-V46+AR46</f>
        <v>0</v>
      </c>
      <c r="CX46" s="76">
        <f>CV46+CW46</f>
        <v>0</v>
      </c>
      <c r="CY46" s="76">
        <f>CX46-K46-L46</f>
        <v>0</v>
      </c>
      <c r="CZ46" s="76">
        <f>BR46-BP46</f>
        <v>0</v>
      </c>
      <c r="DA46" s="76">
        <f>K46+L46</f>
        <v>0</v>
      </c>
      <c r="DB46" s="76">
        <f>-CZ46+DA46+CY46</f>
        <v>0</v>
      </c>
      <c r="DC46" s="76">
        <f>-BP46-DA46</f>
        <v>0</v>
      </c>
      <c r="DD46" s="76">
        <f>DB46+DC46+BR46</f>
        <v>0</v>
      </c>
      <c r="DE46" s="76">
        <f>Z46+AA46+AB46</f>
        <v>0</v>
      </c>
      <c r="DF46" s="76" t="e">
        <f>CS46/B46</f>
        <v>#DIV/0!</v>
      </c>
      <c r="DG46" s="76" t="e">
        <f>CH46/B46</f>
        <v>#DIV/0!</v>
      </c>
      <c r="DH46" s="76" t="e">
        <f>DE46/B46</f>
        <v>#DIV/0!</v>
      </c>
      <c r="DI46" s="77" t="e">
        <f>CZ46/B46</f>
        <v>#DIV/0!</v>
      </c>
      <c r="DJ46" s="72" t="e">
        <f>DB46/B46</f>
        <v>#DIV/0!</v>
      </c>
      <c r="DK46" s="151">
        <f>CA46-BW46-BU46</f>
        <v>0</v>
      </c>
      <c r="DL46" s="72">
        <v>0</v>
      </c>
      <c r="DM46" s="72">
        <v>0</v>
      </c>
      <c r="DN46" s="63">
        <v>0</v>
      </c>
    </row>
    <row r="47" spans="1:118" ht="12.75">
      <c r="A47" s="3" t="s">
        <v>253</v>
      </c>
      <c r="B47" s="134">
        <f>B17</f>
        <v>0</v>
      </c>
      <c r="C47" s="141"/>
      <c r="D47" s="141"/>
      <c r="E47" s="141"/>
      <c r="F47" s="141"/>
      <c r="G47" s="129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f>SUM(K47:L47)</f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f>SUM(R47:V47)</f>
        <v>0</v>
      </c>
      <c r="X47" s="41">
        <v>0</v>
      </c>
      <c r="Y47" s="41">
        <f>SUM(G47:X47)-M47-W47</f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f>SUM(Z47:AD47)</f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f>SUM(AN47:AR47)</f>
        <v>0</v>
      </c>
      <c r="AT47" s="4">
        <v>0</v>
      </c>
      <c r="AU47" s="4">
        <f>SUM(Z47:AT47)-AE47-AH47-AS47</f>
        <v>0</v>
      </c>
      <c r="AV47" s="4">
        <v>0</v>
      </c>
      <c r="AW47" s="4">
        <v>0</v>
      </c>
      <c r="AX47" s="4">
        <f>Y47-AU47+AV47-AW47</f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f>SUM(AZ47:BE47)</f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f>SUM(BG47:BN47)</f>
        <v>0</v>
      </c>
      <c r="BP47" s="41">
        <v>0</v>
      </c>
      <c r="BQ47" s="41">
        <v>0</v>
      </c>
      <c r="BR47" s="41">
        <v>0</v>
      </c>
      <c r="BS47" s="41">
        <f>+BF47-BO47+BP47+BQ47-BR47</f>
        <v>0</v>
      </c>
      <c r="BT47" s="4">
        <v>0</v>
      </c>
      <c r="BU47" s="4">
        <v>0</v>
      </c>
      <c r="BV47" s="4">
        <v>0</v>
      </c>
      <c r="BW47" s="4">
        <v>0</v>
      </c>
      <c r="BX47" s="4">
        <f>SUM(BT47:BW47)</f>
        <v>0</v>
      </c>
      <c r="BY47" s="4">
        <v>0</v>
      </c>
      <c r="BZ47" s="4">
        <v>0</v>
      </c>
      <c r="CA47" s="4">
        <v>0</v>
      </c>
      <c r="CB47" s="4">
        <f>SUM(BY47:CA47)</f>
        <v>0</v>
      </c>
      <c r="CC47" s="4">
        <f>BX47-CB47</f>
        <v>0</v>
      </c>
      <c r="CD47" s="70">
        <f>K47+L47+AV47-AW47</f>
        <v>0</v>
      </c>
      <c r="CE47" s="72">
        <f>CD47+W47-AS47</f>
        <v>0</v>
      </c>
      <c r="CF47" s="72">
        <f>BR47-BP47</f>
        <v>0</v>
      </c>
      <c r="CG47" s="72">
        <f>AU47-AM47-AT47-AS47</f>
        <v>0</v>
      </c>
      <c r="CH47" s="72">
        <f>I47-AG47+AY47+AH47+BQ47</f>
        <v>0</v>
      </c>
      <c r="CI47" s="35">
        <f>CH47+K47</f>
        <v>0</v>
      </c>
      <c r="CJ47" s="57" t="str">
        <f>IF(CF47=0,"-",(CD47/CF47))</f>
        <v>-</v>
      </c>
      <c r="CK47" s="57" t="str">
        <f>IF(CF47=0,"-",(CE47/CF47))</f>
        <v>-</v>
      </c>
      <c r="CL47" s="148" t="str">
        <f>IF(CG47=0,"-",(CD47/CG47*1))</f>
        <v>-</v>
      </c>
      <c r="CM47" s="148" t="str">
        <f>IF(CE47=0,"-",(CE47/CG47))</f>
        <v>-</v>
      </c>
      <c r="CN47" s="148" t="str">
        <f>IF(CG47=0,"-",(CH47/CG47))</f>
        <v>-</v>
      </c>
      <c r="CO47" s="148" t="str">
        <f>IF(CG47=0,"-",(CI47/CG47))</f>
        <v>-</v>
      </c>
      <c r="CP47" s="148" t="str">
        <f>IF(BU47+K47+L47=0,"-",((K47+L47)/(BU47+K47+L47)))</f>
        <v>-</v>
      </c>
      <c r="CQ47" s="148" t="str">
        <f>IF(BU47+K47+L47=0,"-",((K47)/(BU47+K47+L47)))</f>
        <v>-</v>
      </c>
      <c r="CR47" s="149" t="str">
        <f>IF(CE47=0,"-",(CS47/CE47))</f>
        <v>-</v>
      </c>
      <c r="CS47" s="72">
        <f>BT47-BY47</f>
        <v>0</v>
      </c>
      <c r="CT47" s="76">
        <f>Y47-K47-L47-V47</f>
        <v>0</v>
      </c>
      <c r="CU47" s="76">
        <f>AU47-AR47</f>
        <v>0</v>
      </c>
      <c r="CV47" s="76">
        <f>CU47-CT47</f>
        <v>0</v>
      </c>
      <c r="CW47" s="76">
        <f>-V47+AR47</f>
        <v>0</v>
      </c>
      <c r="CX47" s="76">
        <f>CV47+CW47</f>
        <v>0</v>
      </c>
      <c r="CY47" s="76">
        <f>CX47-K47-L47</f>
        <v>0</v>
      </c>
      <c r="CZ47" s="76">
        <f>BR47-BP47</f>
        <v>0</v>
      </c>
      <c r="DA47" s="76">
        <f>K47+L47</f>
        <v>0</v>
      </c>
      <c r="DB47" s="76">
        <f>-CZ47+DA47+CY47</f>
        <v>0</v>
      </c>
      <c r="DC47" s="76">
        <f>-BP47-DA47</f>
        <v>0</v>
      </c>
      <c r="DD47" s="76">
        <f>DB47+DC47+BR47</f>
        <v>0</v>
      </c>
      <c r="DE47" s="76">
        <f>Z47+AA47+AB47</f>
        <v>0</v>
      </c>
      <c r="DF47" s="76" t="e">
        <f>CS47/B47</f>
        <v>#DIV/0!</v>
      </c>
      <c r="DG47" s="76" t="e">
        <f>CH47/B47</f>
        <v>#DIV/0!</v>
      </c>
      <c r="DH47" s="76" t="e">
        <f>DE47/B47</f>
        <v>#DIV/0!</v>
      </c>
      <c r="DI47" s="77" t="e">
        <f>CZ47/B47</f>
        <v>#DIV/0!</v>
      </c>
      <c r="DJ47" s="72" t="e">
        <f>DB47/B47</f>
        <v>#DIV/0!</v>
      </c>
      <c r="DK47" s="151">
        <f>CA47-BW47-BU47</f>
        <v>0</v>
      </c>
      <c r="DL47" s="72">
        <v>0</v>
      </c>
      <c r="DM47" s="72">
        <v>0</v>
      </c>
      <c r="DN47" s="63">
        <v>0</v>
      </c>
    </row>
    <row r="48" spans="1:118" ht="12.75">
      <c r="A48" s="3" t="s">
        <v>254</v>
      </c>
      <c r="B48" s="134">
        <f>B7</f>
        <v>0</v>
      </c>
      <c r="C48" s="141"/>
      <c r="D48" s="141"/>
      <c r="E48" s="141"/>
      <c r="F48" s="141"/>
      <c r="G48" s="129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f>SUM(K48:L48)</f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f>SUM(R48:V48)</f>
        <v>0</v>
      </c>
      <c r="X48" s="41">
        <v>0</v>
      </c>
      <c r="Y48" s="41">
        <f>SUM(G48:X48)-M48-W48</f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f>SUM(Z48:AD48)</f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f>SUM(AN48:AR48)</f>
        <v>0</v>
      </c>
      <c r="AT48" s="4">
        <v>0</v>
      </c>
      <c r="AU48" s="4">
        <f>SUM(Z48:AT48)-AE48-AH48-AS48</f>
        <v>0</v>
      </c>
      <c r="AV48" s="4">
        <v>0</v>
      </c>
      <c r="AW48" s="4">
        <v>0</v>
      </c>
      <c r="AX48" s="4">
        <f>Y48-AU48+AV48-AW48</f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f>SUM(AZ48:BE48)</f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f>SUM(BG48:BN48)</f>
        <v>0</v>
      </c>
      <c r="BP48" s="41">
        <v>0</v>
      </c>
      <c r="BQ48" s="41">
        <v>0</v>
      </c>
      <c r="BR48" s="41">
        <v>0</v>
      </c>
      <c r="BS48" s="41">
        <f>+BF48-BO48+BP48+BQ48-BR48</f>
        <v>0</v>
      </c>
      <c r="BT48" s="4">
        <v>0</v>
      </c>
      <c r="BU48" s="4">
        <v>0</v>
      </c>
      <c r="BV48" s="4">
        <v>0</v>
      </c>
      <c r="BW48" s="4">
        <v>0</v>
      </c>
      <c r="BX48" s="4">
        <f>SUM(BT48:BW48)</f>
        <v>0</v>
      </c>
      <c r="BY48" s="4">
        <v>0</v>
      </c>
      <c r="BZ48" s="4">
        <v>0</v>
      </c>
      <c r="CA48" s="4">
        <v>0</v>
      </c>
      <c r="CB48" s="4">
        <f>SUM(BY48:CA48)</f>
        <v>0</v>
      </c>
      <c r="CC48" s="4">
        <f>BX48-CB48</f>
        <v>0</v>
      </c>
      <c r="CD48" s="70">
        <f>K48+L48+AV48-AW48</f>
        <v>0</v>
      </c>
      <c r="CE48" s="72">
        <f>CD48+W48-AS48</f>
        <v>0</v>
      </c>
      <c r="CF48" s="72">
        <f>BR48-BP48</f>
        <v>0</v>
      </c>
      <c r="CG48" s="72">
        <f>AU48-AM48-AT48-AS48</f>
        <v>0</v>
      </c>
      <c r="CH48" s="72">
        <f>I48-AG48+AY48+AH48+BQ48</f>
        <v>0</v>
      </c>
      <c r="CI48" s="35">
        <f>CH48+K48</f>
        <v>0</v>
      </c>
      <c r="CJ48" s="57" t="str">
        <f>IF(CF48=0,"-",(CD48/CF48))</f>
        <v>-</v>
      </c>
      <c r="CK48" s="57" t="str">
        <f>IF(CF48=0,"-",(CE48/CF48))</f>
        <v>-</v>
      </c>
      <c r="CL48" s="148" t="str">
        <f>IF(CG48=0,"-",(CD48/CG48*1))</f>
        <v>-</v>
      </c>
      <c r="CM48" s="148" t="str">
        <f>IF(CE48=0,"-",(CE48/CG48))</f>
        <v>-</v>
      </c>
      <c r="CN48" s="148" t="str">
        <f>IF(CG48=0,"-",(CH48/CG48))</f>
        <v>-</v>
      </c>
      <c r="CO48" s="148" t="str">
        <f>IF(CG48=0,"-",(CI48/CG48))</f>
        <v>-</v>
      </c>
      <c r="CP48" s="148" t="str">
        <f>IF(BU48+K48+L48=0,"-",((K48+L48)/(BU48+K48+L48)))</f>
        <v>-</v>
      </c>
      <c r="CQ48" s="148" t="str">
        <f>IF(BU48+K48+L48=0,"-",((K48)/(BU48+K48+L48)))</f>
        <v>-</v>
      </c>
      <c r="CR48" s="149" t="str">
        <f>IF(CE48=0,"-",(CS48/CE48))</f>
        <v>-</v>
      </c>
      <c r="CS48" s="72">
        <f>BT48-BY48</f>
        <v>0</v>
      </c>
      <c r="CT48" s="76">
        <f>Y48-K48-L48-V48</f>
        <v>0</v>
      </c>
      <c r="CU48" s="76">
        <f>AU48-AR48</f>
        <v>0</v>
      </c>
      <c r="CV48" s="76">
        <f>CU48-CT48</f>
        <v>0</v>
      </c>
      <c r="CW48" s="76">
        <f>-V48+AR48</f>
        <v>0</v>
      </c>
      <c r="CX48" s="76">
        <f>CV48+CW48</f>
        <v>0</v>
      </c>
      <c r="CY48" s="76">
        <f>CX48-K48-L48</f>
        <v>0</v>
      </c>
      <c r="CZ48" s="76">
        <f>BR48-BP48</f>
        <v>0</v>
      </c>
      <c r="DA48" s="76">
        <f>K48+L48</f>
        <v>0</v>
      </c>
      <c r="DB48" s="76">
        <f>-CZ48+DA48+CY48</f>
        <v>0</v>
      </c>
      <c r="DC48" s="76">
        <f>-BP48-DA48</f>
        <v>0</v>
      </c>
      <c r="DD48" s="76">
        <f>DB48+DC48+BR48</f>
        <v>0</v>
      </c>
      <c r="DE48" s="76">
        <f>Z48+AA48+AB48</f>
        <v>0</v>
      </c>
      <c r="DF48" s="76" t="e">
        <f>CS48/B48</f>
        <v>#DIV/0!</v>
      </c>
      <c r="DG48" s="76" t="e">
        <f>CH48/B48</f>
        <v>#DIV/0!</v>
      </c>
      <c r="DH48" s="76" t="e">
        <f>DE48/B48</f>
        <v>#DIV/0!</v>
      </c>
      <c r="DI48" s="77" t="e">
        <f>CZ48/B48</f>
        <v>#DIV/0!</v>
      </c>
      <c r="DJ48" s="72" t="e">
        <f>DB48/B48</f>
        <v>#DIV/0!</v>
      </c>
      <c r="DK48" s="151">
        <f>CA48-BW48-BU48</f>
        <v>0</v>
      </c>
      <c r="DL48" s="72">
        <v>0</v>
      </c>
      <c r="DM48" s="72">
        <v>0</v>
      </c>
      <c r="DN48" s="63">
        <v>0</v>
      </c>
    </row>
    <row r="49" spans="1:118" ht="12.75">
      <c r="A49" s="3" t="s">
        <v>255</v>
      </c>
      <c r="B49" s="134">
        <f>B8+B17</f>
        <v>0</v>
      </c>
      <c r="C49" s="141"/>
      <c r="D49" s="141"/>
      <c r="E49" s="141"/>
      <c r="F49" s="141"/>
      <c r="G49" s="129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f>SUM(K49:L49)</f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f>SUM(R49:V49)</f>
        <v>0</v>
      </c>
      <c r="X49" s="41">
        <v>0</v>
      </c>
      <c r="Y49" s="41">
        <f>SUM(G49:X49)-M49-W49</f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f>SUM(Z49:AD49)</f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f>SUM(AN49:AR49)</f>
        <v>0</v>
      </c>
      <c r="AT49" s="4">
        <v>0</v>
      </c>
      <c r="AU49" s="4">
        <f>SUM(Z49:AT49)-AE49-AH49-AS49</f>
        <v>0</v>
      </c>
      <c r="AV49" s="4">
        <v>0</v>
      </c>
      <c r="AW49" s="4">
        <v>0</v>
      </c>
      <c r="AX49" s="4">
        <f>Y49-AU49+AV49-AW49</f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f>SUM(AZ49:BE49)</f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f>SUM(BG49:BN49)</f>
        <v>0</v>
      </c>
      <c r="BP49" s="41">
        <v>0</v>
      </c>
      <c r="BQ49" s="41">
        <v>0</v>
      </c>
      <c r="BR49" s="41">
        <v>0</v>
      </c>
      <c r="BS49" s="41">
        <f>+BF49-BO49+BP49+BQ49-BR49</f>
        <v>0</v>
      </c>
      <c r="BT49" s="4">
        <v>0</v>
      </c>
      <c r="BU49" s="4">
        <v>0</v>
      </c>
      <c r="BV49" s="4">
        <v>0</v>
      </c>
      <c r="BW49" s="4">
        <v>0</v>
      </c>
      <c r="BX49" s="4">
        <f>SUM(BT49:BW49)</f>
        <v>0</v>
      </c>
      <c r="BY49" s="4">
        <v>0</v>
      </c>
      <c r="BZ49" s="4">
        <v>0</v>
      </c>
      <c r="CA49" s="4">
        <v>0</v>
      </c>
      <c r="CB49" s="4">
        <f>SUM(BY49:CA49)</f>
        <v>0</v>
      </c>
      <c r="CC49" s="4">
        <f>BX49-CB49</f>
        <v>0</v>
      </c>
      <c r="CD49" s="70">
        <f>K49+L49+AV49-AW49</f>
        <v>0</v>
      </c>
      <c r="CE49" s="72">
        <f>CD49+W49-AS49</f>
        <v>0</v>
      </c>
      <c r="CF49" s="72">
        <f>BR49-BP49</f>
        <v>0</v>
      </c>
      <c r="CG49" s="72">
        <f>AU49-AM49-AT49-AS49</f>
        <v>0</v>
      </c>
      <c r="CH49" s="72">
        <f>I49-AG49+AY49+AH49+BQ49</f>
        <v>0</v>
      </c>
      <c r="CI49" s="35">
        <f>CH49+K49</f>
        <v>0</v>
      </c>
      <c r="CJ49" s="57" t="str">
        <f>IF(CF49=0,"-",(CD49/CF49))</f>
        <v>-</v>
      </c>
      <c r="CK49" s="57" t="str">
        <f>IF(CF49=0,"-",(CE49/CF49))</f>
        <v>-</v>
      </c>
      <c r="CL49" s="148" t="str">
        <f>IF(CG49=0,"-",(CD49/CG49*1))</f>
        <v>-</v>
      </c>
      <c r="CM49" s="148" t="str">
        <f>IF(CE49=0,"-",(CE49/CG49))</f>
        <v>-</v>
      </c>
      <c r="CN49" s="148" t="str">
        <f>IF(CG49=0,"-",(CH49/CG49))</f>
        <v>-</v>
      </c>
      <c r="CO49" s="148" t="str">
        <f>IF(CG49=0,"-",(CI49/CG49))</f>
        <v>-</v>
      </c>
      <c r="CP49" s="148" t="str">
        <f>IF(BU49+K49+L49=0,"-",((K49+L49)/(BU49+K49+L49)))</f>
        <v>-</v>
      </c>
      <c r="CQ49" s="148" t="str">
        <f>IF(BU49+K49+L49=0,"-",((K49)/(BU49+K49+L49)))</f>
        <v>-</v>
      </c>
      <c r="CR49" s="149" t="str">
        <f>IF(CE49=0,"-",(CS49/CE49))</f>
        <v>-</v>
      </c>
      <c r="CS49" s="72">
        <f>BT49-BY49</f>
        <v>0</v>
      </c>
      <c r="CT49" s="76">
        <f>Y49-K49-L49-V49</f>
        <v>0</v>
      </c>
      <c r="CU49" s="76">
        <f>AU49-AR49</f>
        <v>0</v>
      </c>
      <c r="CV49" s="76">
        <f>CU49-CT49</f>
        <v>0</v>
      </c>
      <c r="CW49" s="76">
        <f>-V49+AR49</f>
        <v>0</v>
      </c>
      <c r="CX49" s="76">
        <f>CV49+CW49</f>
        <v>0</v>
      </c>
      <c r="CY49" s="76">
        <f>CX49-K49-L49</f>
        <v>0</v>
      </c>
      <c r="CZ49" s="76">
        <f>BR49-BP49</f>
        <v>0</v>
      </c>
      <c r="DA49" s="76">
        <f>K49+L49</f>
        <v>0</v>
      </c>
      <c r="DB49" s="76">
        <f>-CZ49+DA49+CY49</f>
        <v>0</v>
      </c>
      <c r="DC49" s="76">
        <f>-BP49-DA49</f>
        <v>0</v>
      </c>
      <c r="DD49" s="76">
        <f>DB49+DC49+BR49</f>
        <v>0</v>
      </c>
      <c r="DE49" s="76">
        <f>Z49+AA49+AB49</f>
        <v>0</v>
      </c>
      <c r="DF49" s="76" t="e">
        <f>CS49/B49</f>
        <v>#DIV/0!</v>
      </c>
      <c r="DG49" s="76" t="e">
        <f>CH49/B49</f>
        <v>#DIV/0!</v>
      </c>
      <c r="DH49" s="76" t="e">
        <f>DE49/B49</f>
        <v>#DIV/0!</v>
      </c>
      <c r="DI49" s="77" t="e">
        <f>CZ49/B49</f>
        <v>#DIV/0!</v>
      </c>
      <c r="DJ49" s="72" t="e">
        <f>DB49/B49</f>
        <v>#DIV/0!</v>
      </c>
      <c r="DK49" s="151">
        <f>CA49-BW49-BU49</f>
        <v>0</v>
      </c>
      <c r="DL49" s="72">
        <v>0</v>
      </c>
      <c r="DM49" s="72">
        <v>0</v>
      </c>
      <c r="DN49" s="63">
        <v>0</v>
      </c>
    </row>
    <row r="50" spans="1:118" ht="12.75">
      <c r="A50" s="3" t="s">
        <v>256</v>
      </c>
      <c r="B50" s="134">
        <f>B8+B17+B7</f>
        <v>0</v>
      </c>
      <c r="C50" s="141"/>
      <c r="D50" s="141"/>
      <c r="E50" s="141"/>
      <c r="F50" s="141"/>
      <c r="G50" s="129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f>SUM(K50:L50)</f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f>SUM(R50:V50)</f>
        <v>0</v>
      </c>
      <c r="X50" s="41">
        <v>0</v>
      </c>
      <c r="Y50" s="41">
        <f>SUM(G50:X50)-M50-W50</f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f>SUM(Z50:AD50)</f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f>SUM(AN50:AR50)</f>
        <v>0</v>
      </c>
      <c r="AT50" s="4">
        <v>0</v>
      </c>
      <c r="AU50" s="4">
        <f>SUM(Z50:AT50)-AE50-AH50-AS50</f>
        <v>0</v>
      </c>
      <c r="AV50" s="4">
        <v>0</v>
      </c>
      <c r="AW50" s="4">
        <v>0</v>
      </c>
      <c r="AX50" s="4">
        <f>Y50-AU50+AV50-AW50</f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f>SUM(AZ50:BE50)</f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f>SUM(BG50:BN50)</f>
        <v>0</v>
      </c>
      <c r="BP50" s="41">
        <v>0</v>
      </c>
      <c r="BQ50" s="41">
        <v>0</v>
      </c>
      <c r="BR50" s="41">
        <v>0</v>
      </c>
      <c r="BS50" s="41">
        <f>+BF50-BO50+BP50+BQ50-BR50</f>
        <v>0</v>
      </c>
      <c r="BT50" s="4">
        <v>0</v>
      </c>
      <c r="BU50" s="4">
        <v>0</v>
      </c>
      <c r="BV50" s="4">
        <v>0</v>
      </c>
      <c r="BW50" s="4">
        <v>0</v>
      </c>
      <c r="BX50" s="4">
        <f>SUM(BT50:BW50)</f>
        <v>0</v>
      </c>
      <c r="BY50" s="4">
        <v>0</v>
      </c>
      <c r="BZ50" s="4">
        <v>0</v>
      </c>
      <c r="CA50" s="4">
        <v>0</v>
      </c>
      <c r="CB50" s="4">
        <f>SUM(BY50:CA50)</f>
        <v>0</v>
      </c>
      <c r="CC50" s="4">
        <f>BX50-CB50</f>
        <v>0</v>
      </c>
      <c r="CD50" s="70">
        <f>K50+L50+AV50-AW50</f>
        <v>0</v>
      </c>
      <c r="CE50" s="72">
        <f>CD50+W50-AS50</f>
        <v>0</v>
      </c>
      <c r="CF50" s="72">
        <f>BR50-BP50</f>
        <v>0</v>
      </c>
      <c r="CG50" s="72">
        <f>AU50-AM50-AT50-AS50</f>
        <v>0</v>
      </c>
      <c r="CH50" s="72">
        <f>I50-AG50+AY50+AH50+BQ50</f>
        <v>0</v>
      </c>
      <c r="CI50" s="35">
        <f>CH50+K50</f>
        <v>0</v>
      </c>
      <c r="CJ50" s="57" t="str">
        <f>IF(CF50=0,"-",(CD50/CF50))</f>
        <v>-</v>
      </c>
      <c r="CK50" s="57" t="str">
        <f>IF(CF50=0,"-",(CE50/CF50))</f>
        <v>-</v>
      </c>
      <c r="CL50" s="148" t="str">
        <f>IF(CG50=0,"-",(CD50/CG50*1))</f>
        <v>-</v>
      </c>
      <c r="CM50" s="148" t="str">
        <f>IF(CE50=0,"-",(CE50/CG50))</f>
        <v>-</v>
      </c>
      <c r="CN50" s="148" t="str">
        <f>IF(CG50=0,"-",(CH50/CG50))</f>
        <v>-</v>
      </c>
      <c r="CO50" s="148" t="str">
        <f>IF(CG50=0,"-",(CI50/CG50))</f>
        <v>-</v>
      </c>
      <c r="CP50" s="148" t="str">
        <f>IF(BU50+K50+L50=0,"-",((K50+L50)/(BU50+K50+L50)))</f>
        <v>-</v>
      </c>
      <c r="CQ50" s="148" t="str">
        <f>IF(BU50+K50+L50=0,"-",((K50)/(BU50+K50+L50)))</f>
        <v>-</v>
      </c>
      <c r="CR50" s="149" t="str">
        <f>IF(CE50=0,"-",(CS50/CE50))</f>
        <v>-</v>
      </c>
      <c r="CS50" s="72">
        <f>BT50-BY50</f>
        <v>0</v>
      </c>
      <c r="CT50" s="76">
        <f>Y50-K50-L50-V50</f>
        <v>0</v>
      </c>
      <c r="CU50" s="76">
        <f>AU50-AR50</f>
        <v>0</v>
      </c>
      <c r="CV50" s="76">
        <f>CU50-CT50</f>
        <v>0</v>
      </c>
      <c r="CW50" s="76">
        <f>-V50+AR50</f>
        <v>0</v>
      </c>
      <c r="CX50" s="76">
        <f>CV50+CW50</f>
        <v>0</v>
      </c>
      <c r="CY50" s="76">
        <f>CX50-K50-L50</f>
        <v>0</v>
      </c>
      <c r="CZ50" s="76">
        <f>BR50-BP50</f>
        <v>0</v>
      </c>
      <c r="DA50" s="76">
        <f>K50+L50</f>
        <v>0</v>
      </c>
      <c r="DB50" s="76">
        <f>-CZ50+DA50+CY50</f>
        <v>0</v>
      </c>
      <c r="DC50" s="76">
        <f>-BP50-DA50</f>
        <v>0</v>
      </c>
      <c r="DD50" s="76">
        <f>DB50+DC50+BR50</f>
        <v>0</v>
      </c>
      <c r="DE50" s="76">
        <f>Z50+AA50+AB50</f>
        <v>0</v>
      </c>
      <c r="DF50" s="76" t="e">
        <f>CS50/B50</f>
        <v>#DIV/0!</v>
      </c>
      <c r="DG50" s="76" t="e">
        <f>CH50/B50</f>
        <v>#DIV/0!</v>
      </c>
      <c r="DH50" s="76" t="e">
        <f>DE50/B50</f>
        <v>#DIV/0!</v>
      </c>
      <c r="DI50" s="77" t="e">
        <f>CZ50/B50</f>
        <v>#DIV/0!</v>
      </c>
      <c r="DJ50" s="72" t="e">
        <f>DB50/B50</f>
        <v>#DIV/0!</v>
      </c>
      <c r="DK50" s="151">
        <f>CA50-BW50-BU50</f>
        <v>0</v>
      </c>
      <c r="DL50" s="72">
        <v>0</v>
      </c>
      <c r="DM50" s="72">
        <v>0</v>
      </c>
      <c r="DN50" s="63">
        <v>0</v>
      </c>
    </row>
    <row r="60" spans="1:115" ht="12.75">
      <c r="A60" s="3" t="s">
        <v>259</v>
      </c>
      <c r="B60" s="60">
        <f>B10+B20+B26</f>
        <v>0</v>
      </c>
      <c r="C60" s="60">
        <f aca="true" t="shared" si="113" ref="C60:BN60">C10+C20+C26</f>
        <v>0</v>
      </c>
      <c r="D60" s="60">
        <f>(D10+D20+D26)/3</f>
        <v>0</v>
      </c>
      <c r="E60" s="60">
        <f>(E10+E20+E26)/3</f>
        <v>0</v>
      </c>
      <c r="F60" s="60">
        <f>(F10+F20+F26)/3</f>
        <v>10</v>
      </c>
      <c r="G60" s="18">
        <f t="shared" si="113"/>
        <v>0</v>
      </c>
      <c r="H60" s="18">
        <f t="shared" si="113"/>
        <v>0</v>
      </c>
      <c r="I60" s="18">
        <f t="shared" si="113"/>
        <v>0</v>
      </c>
      <c r="J60" s="18">
        <f t="shared" si="113"/>
        <v>0</v>
      </c>
      <c r="K60" s="18">
        <f t="shared" si="113"/>
        <v>0</v>
      </c>
      <c r="L60" s="18">
        <f t="shared" si="113"/>
        <v>0</v>
      </c>
      <c r="M60" s="18">
        <f t="shared" si="113"/>
        <v>0</v>
      </c>
      <c r="N60" s="18">
        <f t="shared" si="113"/>
        <v>0</v>
      </c>
      <c r="O60" s="18">
        <f t="shared" si="113"/>
        <v>0</v>
      </c>
      <c r="P60" s="18">
        <f t="shared" si="113"/>
        <v>0</v>
      </c>
      <c r="Q60" s="18">
        <f t="shared" si="113"/>
        <v>0</v>
      </c>
      <c r="R60" s="18">
        <f t="shared" si="113"/>
        <v>0</v>
      </c>
      <c r="S60" s="18">
        <f t="shared" si="113"/>
        <v>0</v>
      </c>
      <c r="T60" s="18">
        <f t="shared" si="113"/>
        <v>0</v>
      </c>
      <c r="U60" s="18">
        <f t="shared" si="113"/>
        <v>0</v>
      </c>
      <c r="V60" s="18">
        <f t="shared" si="113"/>
        <v>0</v>
      </c>
      <c r="W60" s="18">
        <f t="shared" si="113"/>
        <v>0</v>
      </c>
      <c r="X60" s="18">
        <f t="shared" si="113"/>
        <v>0</v>
      </c>
      <c r="Y60" s="18">
        <f t="shared" si="113"/>
        <v>0</v>
      </c>
      <c r="Z60" s="18">
        <f t="shared" si="113"/>
        <v>0</v>
      </c>
      <c r="AA60" s="18">
        <f t="shared" si="113"/>
        <v>0</v>
      </c>
      <c r="AB60" s="18">
        <f t="shared" si="113"/>
        <v>0</v>
      </c>
      <c r="AC60" s="18">
        <f t="shared" si="113"/>
        <v>0</v>
      </c>
      <c r="AD60" s="18">
        <f t="shared" si="113"/>
        <v>0</v>
      </c>
      <c r="AE60" s="18">
        <f t="shared" si="113"/>
        <v>0</v>
      </c>
      <c r="AF60" s="18">
        <f t="shared" si="113"/>
        <v>0</v>
      </c>
      <c r="AG60" s="18">
        <f t="shared" si="113"/>
        <v>0</v>
      </c>
      <c r="AH60" s="18">
        <f t="shared" si="113"/>
        <v>0</v>
      </c>
      <c r="AI60" s="18">
        <f t="shared" si="113"/>
        <v>0</v>
      </c>
      <c r="AJ60" s="18">
        <f t="shared" si="113"/>
        <v>0</v>
      </c>
      <c r="AK60" s="18">
        <f t="shared" si="113"/>
        <v>0</v>
      </c>
      <c r="AL60" s="18">
        <f t="shared" si="113"/>
        <v>0</v>
      </c>
      <c r="AM60" s="18">
        <f t="shared" si="113"/>
        <v>0</v>
      </c>
      <c r="AN60" s="18">
        <f t="shared" si="113"/>
        <v>0</v>
      </c>
      <c r="AO60" s="18">
        <f t="shared" si="113"/>
        <v>0</v>
      </c>
      <c r="AP60" s="18">
        <f t="shared" si="113"/>
        <v>0</v>
      </c>
      <c r="AQ60" s="18">
        <f t="shared" si="113"/>
        <v>0</v>
      </c>
      <c r="AR60" s="18">
        <f t="shared" si="113"/>
        <v>0</v>
      </c>
      <c r="AS60" s="18">
        <f t="shared" si="113"/>
        <v>0</v>
      </c>
      <c r="AT60" s="18">
        <f t="shared" si="113"/>
        <v>0</v>
      </c>
      <c r="AU60" s="18">
        <f t="shared" si="113"/>
        <v>0</v>
      </c>
      <c r="AV60" s="18">
        <f t="shared" si="113"/>
        <v>0</v>
      </c>
      <c r="AW60" s="18">
        <f t="shared" si="113"/>
        <v>0</v>
      </c>
      <c r="AX60" s="18">
        <f t="shared" si="113"/>
        <v>0</v>
      </c>
      <c r="AY60" s="18">
        <f t="shared" si="113"/>
        <v>0</v>
      </c>
      <c r="AZ60" s="18">
        <f t="shared" si="113"/>
        <v>0</v>
      </c>
      <c r="BA60" s="18">
        <f t="shared" si="113"/>
        <v>0</v>
      </c>
      <c r="BB60" s="18">
        <f t="shared" si="113"/>
        <v>0</v>
      </c>
      <c r="BC60" s="18">
        <f t="shared" si="113"/>
        <v>0</v>
      </c>
      <c r="BD60" s="18">
        <f t="shared" si="113"/>
        <v>0</v>
      </c>
      <c r="BE60" s="18">
        <f t="shared" si="113"/>
        <v>0</v>
      </c>
      <c r="BF60" s="18">
        <f t="shared" si="113"/>
        <v>0</v>
      </c>
      <c r="BG60" s="18">
        <f t="shared" si="113"/>
        <v>0</v>
      </c>
      <c r="BH60" s="18">
        <f t="shared" si="113"/>
        <v>0</v>
      </c>
      <c r="BI60" s="18">
        <f t="shared" si="113"/>
        <v>0</v>
      </c>
      <c r="BJ60" s="18">
        <f t="shared" si="113"/>
        <v>0</v>
      </c>
      <c r="BK60" s="18">
        <f t="shared" si="113"/>
        <v>0</v>
      </c>
      <c r="BL60" s="18">
        <f t="shared" si="113"/>
        <v>0</v>
      </c>
      <c r="BM60" s="18">
        <f t="shared" si="113"/>
        <v>0</v>
      </c>
      <c r="BN60" s="18">
        <f t="shared" si="113"/>
        <v>0</v>
      </c>
      <c r="BO60" s="18">
        <f aca="true" t="shared" si="114" ref="BO60:CI60">BO10+BO20+BO26</f>
        <v>0</v>
      </c>
      <c r="BP60" s="18">
        <f t="shared" si="114"/>
        <v>0</v>
      </c>
      <c r="BQ60" s="18">
        <f t="shared" si="114"/>
        <v>0</v>
      </c>
      <c r="BR60" s="18">
        <f t="shared" si="114"/>
        <v>0</v>
      </c>
      <c r="BS60" s="18">
        <f t="shared" si="114"/>
        <v>0</v>
      </c>
      <c r="BT60" s="18">
        <f t="shared" si="114"/>
        <v>0</v>
      </c>
      <c r="BU60" s="18">
        <f t="shared" si="114"/>
        <v>0</v>
      </c>
      <c r="BV60" s="18">
        <f t="shared" si="114"/>
        <v>0</v>
      </c>
      <c r="BW60" s="18">
        <f t="shared" si="114"/>
        <v>0</v>
      </c>
      <c r="BX60" s="18">
        <f t="shared" si="114"/>
        <v>0</v>
      </c>
      <c r="BY60" s="18">
        <f t="shared" si="114"/>
        <v>0</v>
      </c>
      <c r="BZ60" s="18">
        <f t="shared" si="114"/>
        <v>0</v>
      </c>
      <c r="CA60" s="18">
        <f t="shared" si="114"/>
        <v>0</v>
      </c>
      <c r="CB60" s="18">
        <f t="shared" si="114"/>
        <v>0</v>
      </c>
      <c r="CC60" s="18">
        <f t="shared" si="114"/>
        <v>0</v>
      </c>
      <c r="CD60" s="18">
        <f t="shared" si="114"/>
        <v>0</v>
      </c>
      <c r="CE60" s="18">
        <f t="shared" si="114"/>
        <v>0</v>
      </c>
      <c r="CF60" s="18">
        <f t="shared" si="114"/>
        <v>0</v>
      </c>
      <c r="CG60" s="18">
        <f t="shared" si="114"/>
        <v>0</v>
      </c>
      <c r="CH60" s="18">
        <f t="shared" si="114"/>
        <v>0</v>
      </c>
      <c r="CI60" s="18">
        <f t="shared" si="114"/>
        <v>0</v>
      </c>
      <c r="CJ60" s="156" t="e">
        <f aca="true" t="shared" si="115" ref="CJ60:CJ65">CD60/CF60</f>
        <v>#DIV/0!</v>
      </c>
      <c r="CK60" s="156" t="e">
        <f aca="true" t="shared" si="116" ref="CK60:CK65">CE60/CF60</f>
        <v>#DIV/0!</v>
      </c>
      <c r="CL60" s="156" t="e">
        <f aca="true" t="shared" si="117" ref="CL60:CL65">CD60/CG60*1</f>
        <v>#DIV/0!</v>
      </c>
      <c r="CM60" s="156" t="e">
        <f aca="true" t="shared" si="118" ref="CM60:CM65">CE60/CG60</f>
        <v>#DIV/0!</v>
      </c>
      <c r="CN60" s="156" t="e">
        <f aca="true" t="shared" si="119" ref="CN60:CN65">CH60/CG60</f>
        <v>#DIV/0!</v>
      </c>
      <c r="CO60" s="156" t="e">
        <f aca="true" t="shared" si="120" ref="CO60:CO65">CI60/CG60</f>
        <v>#DIV/0!</v>
      </c>
      <c r="CP60" s="156" t="e">
        <f aca="true" t="shared" si="121" ref="CP60:CP65">(K60+L60)/(BU60+K60+L60)</f>
        <v>#DIV/0!</v>
      </c>
      <c r="CQ60" s="156" t="e">
        <f aca="true" t="shared" si="122" ref="CQ60:CQ65">(K60)/(BU60+K60+L60)</f>
        <v>#DIV/0!</v>
      </c>
      <c r="CR60" s="18" t="e">
        <f aca="true" t="shared" si="123" ref="CR60:CR65">CS60/CE60</f>
        <v>#DIV/0!</v>
      </c>
      <c r="CS60" s="18">
        <f aca="true" t="shared" si="124" ref="CS60:CS65">BT60-BY60</f>
        <v>0</v>
      </c>
      <c r="CT60" s="18">
        <f aca="true" t="shared" si="125" ref="CT60:CT65">Y60-K60-L60-V60</f>
        <v>0</v>
      </c>
      <c r="CU60" s="18">
        <f aca="true" t="shared" si="126" ref="CU60:CU65">AU60-AR60</f>
        <v>0</v>
      </c>
      <c r="CV60" s="18">
        <f aca="true" t="shared" si="127" ref="CV60:CV65">CU60-CT60</f>
        <v>0</v>
      </c>
      <c r="CW60" s="18">
        <f aca="true" t="shared" si="128" ref="CW60:CW65">-V60+AR60</f>
        <v>0</v>
      </c>
      <c r="CX60" s="18">
        <f aca="true" t="shared" si="129" ref="CX60:CX65">CV60+CW60</f>
        <v>0</v>
      </c>
      <c r="CY60" s="18">
        <f aca="true" t="shared" si="130" ref="CY60:CY65">CX60-K60-L60</f>
        <v>0</v>
      </c>
      <c r="CZ60" s="18">
        <f aca="true" t="shared" si="131" ref="CZ60:CZ65">BR60-BP60</f>
        <v>0</v>
      </c>
      <c r="DA60" s="18">
        <f aca="true" t="shared" si="132" ref="DA60:DA65">K60+L60</f>
        <v>0</v>
      </c>
      <c r="DB60" s="18">
        <f aca="true" t="shared" si="133" ref="DB60:DB65">-CZ60+DA60+CY60</f>
        <v>0</v>
      </c>
      <c r="DC60" s="18">
        <f aca="true" t="shared" si="134" ref="DC60:DC65">-BP60-DA60</f>
        <v>0</v>
      </c>
      <c r="DD60" s="18">
        <f aca="true" t="shared" si="135" ref="DD60:DD65">DB60+DC60+BR60</f>
        <v>0</v>
      </c>
      <c r="DE60" s="18">
        <f aca="true" t="shared" si="136" ref="DE60:DE65">Z60+AA60+AB60</f>
        <v>0</v>
      </c>
      <c r="DF60" s="18" t="e">
        <f aca="true" t="shared" si="137" ref="DF60:DF65">CS60/B60</f>
        <v>#DIV/0!</v>
      </c>
      <c r="DG60" s="18" t="e">
        <f aca="true" t="shared" si="138" ref="DG60:DG65">CH60/B60</f>
        <v>#DIV/0!</v>
      </c>
      <c r="DH60" s="18" t="e">
        <f aca="true" t="shared" si="139" ref="DH60:DH65">DE60/B60</f>
        <v>#DIV/0!</v>
      </c>
      <c r="DI60" s="18" t="e">
        <f aca="true" t="shared" si="140" ref="DI60:DI65">CZ60/B60</f>
        <v>#DIV/0!</v>
      </c>
      <c r="DJ60" s="18" t="e">
        <f aca="true" t="shared" si="141" ref="DJ60:DJ65">DB60/B60</f>
        <v>#DIV/0!</v>
      </c>
      <c r="DK60" s="18">
        <f aca="true" t="shared" si="142" ref="DK60:DK65">CA60-BW60-BU60</f>
        <v>0</v>
      </c>
    </row>
    <row r="61" spans="1:115" ht="12.75">
      <c r="A61" s="3" t="s">
        <v>260</v>
      </c>
      <c r="B61" s="60">
        <f>B4+B19+B21+B24+B25</f>
        <v>0</v>
      </c>
      <c r="C61" s="60">
        <f aca="true" t="shared" si="143" ref="C61:BN61">C4+C19+C21+C24+C25</f>
        <v>0</v>
      </c>
      <c r="D61" s="60">
        <f>(D4+D19+D21+D24+D25)/5</f>
        <v>0</v>
      </c>
      <c r="E61" s="60">
        <f>(E4+E19+E21+E24+E25)/5</f>
        <v>0</v>
      </c>
      <c r="F61" s="60">
        <f>(F4+F19+F21+F24+F25)/5</f>
        <v>10.4</v>
      </c>
      <c r="G61" s="18">
        <f t="shared" si="143"/>
        <v>0</v>
      </c>
      <c r="H61" s="18">
        <f t="shared" si="143"/>
        <v>0</v>
      </c>
      <c r="I61" s="18">
        <f t="shared" si="143"/>
        <v>0</v>
      </c>
      <c r="J61" s="18">
        <f t="shared" si="143"/>
        <v>0</v>
      </c>
      <c r="K61" s="18">
        <f t="shared" si="143"/>
        <v>0</v>
      </c>
      <c r="L61" s="18">
        <f t="shared" si="143"/>
        <v>0</v>
      </c>
      <c r="M61" s="18">
        <f t="shared" si="143"/>
        <v>0</v>
      </c>
      <c r="N61" s="18">
        <f t="shared" si="143"/>
        <v>0</v>
      </c>
      <c r="O61" s="18">
        <f t="shared" si="143"/>
        <v>0</v>
      </c>
      <c r="P61" s="18">
        <f t="shared" si="143"/>
        <v>0</v>
      </c>
      <c r="Q61" s="18">
        <f t="shared" si="143"/>
        <v>0</v>
      </c>
      <c r="R61" s="18">
        <f t="shared" si="143"/>
        <v>0</v>
      </c>
      <c r="S61" s="18">
        <f t="shared" si="143"/>
        <v>0</v>
      </c>
      <c r="T61" s="18">
        <f t="shared" si="143"/>
        <v>0</v>
      </c>
      <c r="U61" s="18">
        <f t="shared" si="143"/>
        <v>0</v>
      </c>
      <c r="V61" s="18">
        <f t="shared" si="143"/>
        <v>0</v>
      </c>
      <c r="W61" s="18">
        <f t="shared" si="143"/>
        <v>0</v>
      </c>
      <c r="X61" s="18">
        <f t="shared" si="143"/>
        <v>0</v>
      </c>
      <c r="Y61" s="18">
        <f t="shared" si="143"/>
        <v>0</v>
      </c>
      <c r="Z61" s="18">
        <f t="shared" si="143"/>
        <v>0</v>
      </c>
      <c r="AA61" s="18">
        <f t="shared" si="143"/>
        <v>0</v>
      </c>
      <c r="AB61" s="18">
        <f t="shared" si="143"/>
        <v>0</v>
      </c>
      <c r="AC61" s="18">
        <f t="shared" si="143"/>
        <v>0</v>
      </c>
      <c r="AD61" s="18">
        <f t="shared" si="143"/>
        <v>0</v>
      </c>
      <c r="AE61" s="18">
        <f t="shared" si="143"/>
        <v>0</v>
      </c>
      <c r="AF61" s="18">
        <f t="shared" si="143"/>
        <v>0</v>
      </c>
      <c r="AG61" s="18">
        <f t="shared" si="143"/>
        <v>0</v>
      </c>
      <c r="AH61" s="18">
        <f t="shared" si="143"/>
        <v>0</v>
      </c>
      <c r="AI61" s="18">
        <f t="shared" si="143"/>
        <v>0</v>
      </c>
      <c r="AJ61" s="18">
        <f t="shared" si="143"/>
        <v>0</v>
      </c>
      <c r="AK61" s="18">
        <f t="shared" si="143"/>
        <v>0</v>
      </c>
      <c r="AL61" s="18">
        <f t="shared" si="143"/>
        <v>0</v>
      </c>
      <c r="AM61" s="18">
        <f t="shared" si="143"/>
        <v>0</v>
      </c>
      <c r="AN61" s="18">
        <f t="shared" si="143"/>
        <v>0</v>
      </c>
      <c r="AO61" s="18">
        <f t="shared" si="143"/>
        <v>0</v>
      </c>
      <c r="AP61" s="18">
        <f t="shared" si="143"/>
        <v>0</v>
      </c>
      <c r="AQ61" s="18">
        <f t="shared" si="143"/>
        <v>0</v>
      </c>
      <c r="AR61" s="18">
        <f t="shared" si="143"/>
        <v>0</v>
      </c>
      <c r="AS61" s="18">
        <f t="shared" si="143"/>
        <v>0</v>
      </c>
      <c r="AT61" s="18">
        <f t="shared" si="143"/>
        <v>0</v>
      </c>
      <c r="AU61" s="18">
        <f t="shared" si="143"/>
        <v>0</v>
      </c>
      <c r="AV61" s="18">
        <f t="shared" si="143"/>
        <v>0</v>
      </c>
      <c r="AW61" s="18">
        <f t="shared" si="143"/>
        <v>0</v>
      </c>
      <c r="AX61" s="18">
        <f t="shared" si="143"/>
        <v>0</v>
      </c>
      <c r="AY61" s="18">
        <f t="shared" si="143"/>
        <v>0</v>
      </c>
      <c r="AZ61" s="18">
        <f t="shared" si="143"/>
        <v>0</v>
      </c>
      <c r="BA61" s="18">
        <f t="shared" si="143"/>
        <v>0</v>
      </c>
      <c r="BB61" s="18">
        <f t="shared" si="143"/>
        <v>0</v>
      </c>
      <c r="BC61" s="18">
        <f t="shared" si="143"/>
        <v>0</v>
      </c>
      <c r="BD61" s="18">
        <f t="shared" si="143"/>
        <v>0</v>
      </c>
      <c r="BE61" s="18">
        <f t="shared" si="143"/>
        <v>0</v>
      </c>
      <c r="BF61" s="18">
        <f t="shared" si="143"/>
        <v>0</v>
      </c>
      <c r="BG61" s="18">
        <f t="shared" si="143"/>
        <v>0</v>
      </c>
      <c r="BH61" s="18">
        <f t="shared" si="143"/>
        <v>0</v>
      </c>
      <c r="BI61" s="18">
        <f t="shared" si="143"/>
        <v>0</v>
      </c>
      <c r="BJ61" s="18">
        <f t="shared" si="143"/>
        <v>0</v>
      </c>
      <c r="BK61" s="18">
        <f t="shared" si="143"/>
        <v>0</v>
      </c>
      <c r="BL61" s="18">
        <f t="shared" si="143"/>
        <v>0</v>
      </c>
      <c r="BM61" s="18">
        <f t="shared" si="143"/>
        <v>0</v>
      </c>
      <c r="BN61" s="18">
        <f t="shared" si="143"/>
        <v>0</v>
      </c>
      <c r="BO61" s="18">
        <f aca="true" t="shared" si="144" ref="BO61:CI61">BO4+BO19+BO21+BO24+BO25</f>
        <v>0</v>
      </c>
      <c r="BP61" s="18">
        <f t="shared" si="144"/>
        <v>0</v>
      </c>
      <c r="BQ61" s="18">
        <f t="shared" si="144"/>
        <v>0</v>
      </c>
      <c r="BR61" s="18">
        <f t="shared" si="144"/>
        <v>0</v>
      </c>
      <c r="BS61" s="18">
        <f t="shared" si="144"/>
        <v>0</v>
      </c>
      <c r="BT61" s="18">
        <f t="shared" si="144"/>
        <v>0</v>
      </c>
      <c r="BU61" s="18">
        <f t="shared" si="144"/>
        <v>0</v>
      </c>
      <c r="BV61" s="18">
        <f t="shared" si="144"/>
        <v>0</v>
      </c>
      <c r="BW61" s="18">
        <f t="shared" si="144"/>
        <v>0</v>
      </c>
      <c r="BX61" s="18">
        <f t="shared" si="144"/>
        <v>0</v>
      </c>
      <c r="BY61" s="18">
        <f t="shared" si="144"/>
        <v>0</v>
      </c>
      <c r="BZ61" s="18">
        <f t="shared" si="144"/>
        <v>0</v>
      </c>
      <c r="CA61" s="18">
        <f t="shared" si="144"/>
        <v>0</v>
      </c>
      <c r="CB61" s="18">
        <f t="shared" si="144"/>
        <v>0</v>
      </c>
      <c r="CC61" s="18">
        <f t="shared" si="144"/>
        <v>0</v>
      </c>
      <c r="CD61" s="18">
        <f t="shared" si="144"/>
        <v>0</v>
      </c>
      <c r="CE61" s="18">
        <f t="shared" si="144"/>
        <v>0</v>
      </c>
      <c r="CF61" s="18">
        <f t="shared" si="144"/>
        <v>0</v>
      </c>
      <c r="CG61" s="18">
        <f t="shared" si="144"/>
        <v>0</v>
      </c>
      <c r="CH61" s="18">
        <f t="shared" si="144"/>
        <v>0</v>
      </c>
      <c r="CI61" s="18">
        <f t="shared" si="144"/>
        <v>0</v>
      </c>
      <c r="CJ61" s="156" t="e">
        <f t="shared" si="115"/>
        <v>#DIV/0!</v>
      </c>
      <c r="CK61" s="156" t="e">
        <f t="shared" si="116"/>
        <v>#DIV/0!</v>
      </c>
      <c r="CL61" s="156" t="e">
        <f t="shared" si="117"/>
        <v>#DIV/0!</v>
      </c>
      <c r="CM61" s="156" t="e">
        <f t="shared" si="118"/>
        <v>#DIV/0!</v>
      </c>
      <c r="CN61" s="156" t="e">
        <f t="shared" si="119"/>
        <v>#DIV/0!</v>
      </c>
      <c r="CO61" s="156" t="e">
        <f t="shared" si="120"/>
        <v>#DIV/0!</v>
      </c>
      <c r="CP61" s="156" t="e">
        <f t="shared" si="121"/>
        <v>#DIV/0!</v>
      </c>
      <c r="CQ61" s="156" t="e">
        <f t="shared" si="122"/>
        <v>#DIV/0!</v>
      </c>
      <c r="CR61" s="18" t="e">
        <f t="shared" si="123"/>
        <v>#DIV/0!</v>
      </c>
      <c r="CS61" s="18">
        <f t="shared" si="124"/>
        <v>0</v>
      </c>
      <c r="CT61" s="18">
        <f t="shared" si="125"/>
        <v>0</v>
      </c>
      <c r="CU61" s="18">
        <f t="shared" si="126"/>
        <v>0</v>
      </c>
      <c r="CV61" s="18">
        <f t="shared" si="127"/>
        <v>0</v>
      </c>
      <c r="CW61" s="18">
        <f t="shared" si="128"/>
        <v>0</v>
      </c>
      <c r="CX61" s="18">
        <f t="shared" si="129"/>
        <v>0</v>
      </c>
      <c r="CY61" s="18">
        <f t="shared" si="130"/>
        <v>0</v>
      </c>
      <c r="CZ61" s="18">
        <f t="shared" si="131"/>
        <v>0</v>
      </c>
      <c r="DA61" s="18">
        <f t="shared" si="132"/>
        <v>0</v>
      </c>
      <c r="DB61" s="18">
        <f t="shared" si="133"/>
        <v>0</v>
      </c>
      <c r="DC61" s="18">
        <f t="shared" si="134"/>
        <v>0</v>
      </c>
      <c r="DD61" s="18">
        <f t="shared" si="135"/>
        <v>0</v>
      </c>
      <c r="DE61" s="18">
        <f t="shared" si="136"/>
        <v>0</v>
      </c>
      <c r="DF61" s="18" t="e">
        <f t="shared" si="137"/>
        <v>#DIV/0!</v>
      </c>
      <c r="DG61" s="18" t="e">
        <f t="shared" si="138"/>
        <v>#DIV/0!</v>
      </c>
      <c r="DH61" s="18" t="e">
        <f t="shared" si="139"/>
        <v>#DIV/0!</v>
      </c>
      <c r="DI61" s="18" t="e">
        <f t="shared" si="140"/>
        <v>#DIV/0!</v>
      </c>
      <c r="DJ61" s="18" t="e">
        <f t="shared" si="141"/>
        <v>#DIV/0!</v>
      </c>
      <c r="DK61" s="18">
        <f t="shared" si="142"/>
        <v>0</v>
      </c>
    </row>
    <row r="62" spans="1:115" ht="12.75">
      <c r="A62" s="3" t="s">
        <v>261</v>
      </c>
      <c r="B62" s="60">
        <f>B9+B11+B22+B27</f>
        <v>0</v>
      </c>
      <c r="C62" s="60">
        <f aca="true" t="shared" si="145" ref="C62:BN62">C9+C11+C22+C27</f>
        <v>0</v>
      </c>
      <c r="D62" s="60">
        <f>(D9+D11+D22+D27)/4</f>
        <v>0</v>
      </c>
      <c r="E62" s="60">
        <f>(E9+E11+E22+E27)/4</f>
        <v>0</v>
      </c>
      <c r="F62" s="60">
        <f>(F9+F11+F22+F27)/4</f>
        <v>13.25</v>
      </c>
      <c r="G62" s="18" t="e">
        <f t="shared" si="145"/>
        <v>#DIV/0!</v>
      </c>
      <c r="H62" s="18" t="e">
        <f t="shared" si="145"/>
        <v>#DIV/0!</v>
      </c>
      <c r="I62" s="18" t="e">
        <f t="shared" si="145"/>
        <v>#DIV/0!</v>
      </c>
      <c r="J62" s="18" t="e">
        <f t="shared" si="145"/>
        <v>#DIV/0!</v>
      </c>
      <c r="K62" s="18" t="e">
        <f t="shared" si="145"/>
        <v>#DIV/0!</v>
      </c>
      <c r="L62" s="18" t="e">
        <f t="shared" si="145"/>
        <v>#DIV/0!</v>
      </c>
      <c r="M62" s="18" t="e">
        <f t="shared" si="145"/>
        <v>#DIV/0!</v>
      </c>
      <c r="N62" s="18" t="e">
        <f t="shared" si="145"/>
        <v>#DIV/0!</v>
      </c>
      <c r="O62" s="18" t="e">
        <f t="shared" si="145"/>
        <v>#DIV/0!</v>
      </c>
      <c r="P62" s="18" t="e">
        <f t="shared" si="145"/>
        <v>#DIV/0!</v>
      </c>
      <c r="Q62" s="18" t="e">
        <f t="shared" si="145"/>
        <v>#DIV/0!</v>
      </c>
      <c r="R62" s="18" t="e">
        <f t="shared" si="145"/>
        <v>#DIV/0!</v>
      </c>
      <c r="S62" s="18" t="e">
        <f t="shared" si="145"/>
        <v>#DIV/0!</v>
      </c>
      <c r="T62" s="18" t="e">
        <f t="shared" si="145"/>
        <v>#DIV/0!</v>
      </c>
      <c r="U62" s="18" t="e">
        <f t="shared" si="145"/>
        <v>#DIV/0!</v>
      </c>
      <c r="V62" s="18" t="e">
        <f t="shared" si="145"/>
        <v>#DIV/0!</v>
      </c>
      <c r="W62" s="18" t="e">
        <f t="shared" si="145"/>
        <v>#DIV/0!</v>
      </c>
      <c r="X62" s="18" t="e">
        <f t="shared" si="145"/>
        <v>#DIV/0!</v>
      </c>
      <c r="Y62" s="18" t="e">
        <f t="shared" si="145"/>
        <v>#DIV/0!</v>
      </c>
      <c r="Z62" s="18" t="e">
        <f t="shared" si="145"/>
        <v>#DIV/0!</v>
      </c>
      <c r="AA62" s="18" t="e">
        <f t="shared" si="145"/>
        <v>#DIV/0!</v>
      </c>
      <c r="AB62" s="18" t="e">
        <f t="shared" si="145"/>
        <v>#DIV/0!</v>
      </c>
      <c r="AC62" s="18" t="e">
        <f t="shared" si="145"/>
        <v>#DIV/0!</v>
      </c>
      <c r="AD62" s="18" t="e">
        <f t="shared" si="145"/>
        <v>#DIV/0!</v>
      </c>
      <c r="AE62" s="18" t="e">
        <f t="shared" si="145"/>
        <v>#DIV/0!</v>
      </c>
      <c r="AF62" s="18" t="e">
        <f t="shared" si="145"/>
        <v>#DIV/0!</v>
      </c>
      <c r="AG62" s="18" t="e">
        <f t="shared" si="145"/>
        <v>#DIV/0!</v>
      </c>
      <c r="AH62" s="18" t="e">
        <f t="shared" si="145"/>
        <v>#DIV/0!</v>
      </c>
      <c r="AI62" s="18" t="e">
        <f t="shared" si="145"/>
        <v>#DIV/0!</v>
      </c>
      <c r="AJ62" s="18" t="e">
        <f t="shared" si="145"/>
        <v>#DIV/0!</v>
      </c>
      <c r="AK62" s="18" t="e">
        <f t="shared" si="145"/>
        <v>#DIV/0!</v>
      </c>
      <c r="AL62" s="18" t="e">
        <f t="shared" si="145"/>
        <v>#DIV/0!</v>
      </c>
      <c r="AM62" s="18" t="e">
        <f t="shared" si="145"/>
        <v>#DIV/0!</v>
      </c>
      <c r="AN62" s="18" t="e">
        <f t="shared" si="145"/>
        <v>#DIV/0!</v>
      </c>
      <c r="AO62" s="18" t="e">
        <f t="shared" si="145"/>
        <v>#DIV/0!</v>
      </c>
      <c r="AP62" s="18" t="e">
        <f t="shared" si="145"/>
        <v>#DIV/0!</v>
      </c>
      <c r="AQ62" s="18" t="e">
        <f t="shared" si="145"/>
        <v>#DIV/0!</v>
      </c>
      <c r="AR62" s="18" t="e">
        <f t="shared" si="145"/>
        <v>#DIV/0!</v>
      </c>
      <c r="AS62" s="18" t="e">
        <f t="shared" si="145"/>
        <v>#DIV/0!</v>
      </c>
      <c r="AT62" s="18" t="e">
        <f t="shared" si="145"/>
        <v>#DIV/0!</v>
      </c>
      <c r="AU62" s="18" t="e">
        <f t="shared" si="145"/>
        <v>#DIV/0!</v>
      </c>
      <c r="AV62" s="18" t="e">
        <f t="shared" si="145"/>
        <v>#DIV/0!</v>
      </c>
      <c r="AW62" s="18" t="e">
        <f t="shared" si="145"/>
        <v>#DIV/0!</v>
      </c>
      <c r="AX62" s="18" t="e">
        <f t="shared" si="145"/>
        <v>#DIV/0!</v>
      </c>
      <c r="AY62" s="18" t="e">
        <f t="shared" si="145"/>
        <v>#DIV/0!</v>
      </c>
      <c r="AZ62" s="18" t="e">
        <f t="shared" si="145"/>
        <v>#DIV/0!</v>
      </c>
      <c r="BA62" s="18" t="e">
        <f t="shared" si="145"/>
        <v>#DIV/0!</v>
      </c>
      <c r="BB62" s="18" t="e">
        <f t="shared" si="145"/>
        <v>#DIV/0!</v>
      </c>
      <c r="BC62" s="18" t="e">
        <f t="shared" si="145"/>
        <v>#DIV/0!</v>
      </c>
      <c r="BD62" s="18" t="e">
        <f t="shared" si="145"/>
        <v>#DIV/0!</v>
      </c>
      <c r="BE62" s="18" t="e">
        <f t="shared" si="145"/>
        <v>#DIV/0!</v>
      </c>
      <c r="BF62" s="18" t="e">
        <f t="shared" si="145"/>
        <v>#DIV/0!</v>
      </c>
      <c r="BG62" s="18" t="e">
        <f t="shared" si="145"/>
        <v>#DIV/0!</v>
      </c>
      <c r="BH62" s="18" t="e">
        <f t="shared" si="145"/>
        <v>#DIV/0!</v>
      </c>
      <c r="BI62" s="18" t="e">
        <f t="shared" si="145"/>
        <v>#DIV/0!</v>
      </c>
      <c r="BJ62" s="18" t="e">
        <f t="shared" si="145"/>
        <v>#DIV/0!</v>
      </c>
      <c r="BK62" s="18" t="e">
        <f t="shared" si="145"/>
        <v>#DIV/0!</v>
      </c>
      <c r="BL62" s="18" t="e">
        <f t="shared" si="145"/>
        <v>#DIV/0!</v>
      </c>
      <c r="BM62" s="18" t="e">
        <f t="shared" si="145"/>
        <v>#DIV/0!</v>
      </c>
      <c r="BN62" s="18" t="e">
        <f t="shared" si="145"/>
        <v>#DIV/0!</v>
      </c>
      <c r="BO62" s="18" t="e">
        <f aca="true" t="shared" si="146" ref="BO62:CI62">BO9+BO11+BO22+BO27</f>
        <v>#DIV/0!</v>
      </c>
      <c r="BP62" s="18" t="e">
        <f t="shared" si="146"/>
        <v>#DIV/0!</v>
      </c>
      <c r="BQ62" s="18" t="e">
        <f t="shared" si="146"/>
        <v>#DIV/0!</v>
      </c>
      <c r="BR62" s="18" t="e">
        <f t="shared" si="146"/>
        <v>#DIV/0!</v>
      </c>
      <c r="BS62" s="18" t="e">
        <f t="shared" si="146"/>
        <v>#DIV/0!</v>
      </c>
      <c r="BT62" s="18" t="e">
        <f t="shared" si="146"/>
        <v>#DIV/0!</v>
      </c>
      <c r="BU62" s="18" t="e">
        <f t="shared" si="146"/>
        <v>#DIV/0!</v>
      </c>
      <c r="BV62" s="18" t="e">
        <f t="shared" si="146"/>
        <v>#DIV/0!</v>
      </c>
      <c r="BW62" s="18" t="e">
        <f t="shared" si="146"/>
        <v>#DIV/0!</v>
      </c>
      <c r="BX62" s="18" t="e">
        <f t="shared" si="146"/>
        <v>#DIV/0!</v>
      </c>
      <c r="BY62" s="18" t="e">
        <f t="shared" si="146"/>
        <v>#DIV/0!</v>
      </c>
      <c r="BZ62" s="18" t="e">
        <f t="shared" si="146"/>
        <v>#DIV/0!</v>
      </c>
      <c r="CA62" s="18" t="e">
        <f t="shared" si="146"/>
        <v>#DIV/0!</v>
      </c>
      <c r="CB62" s="18" t="e">
        <f t="shared" si="146"/>
        <v>#DIV/0!</v>
      </c>
      <c r="CC62" s="18" t="e">
        <f t="shared" si="146"/>
        <v>#DIV/0!</v>
      </c>
      <c r="CD62" s="18" t="e">
        <f t="shared" si="146"/>
        <v>#DIV/0!</v>
      </c>
      <c r="CE62" s="18" t="e">
        <f t="shared" si="146"/>
        <v>#DIV/0!</v>
      </c>
      <c r="CF62" s="18" t="e">
        <f t="shared" si="146"/>
        <v>#DIV/0!</v>
      </c>
      <c r="CG62" s="18" t="e">
        <f t="shared" si="146"/>
        <v>#DIV/0!</v>
      </c>
      <c r="CH62" s="18" t="e">
        <f t="shared" si="146"/>
        <v>#DIV/0!</v>
      </c>
      <c r="CI62" s="18" t="e">
        <f t="shared" si="146"/>
        <v>#DIV/0!</v>
      </c>
      <c r="CJ62" s="156" t="e">
        <f t="shared" si="115"/>
        <v>#DIV/0!</v>
      </c>
      <c r="CK62" s="156" t="e">
        <f t="shared" si="116"/>
        <v>#DIV/0!</v>
      </c>
      <c r="CL62" s="156" t="e">
        <f t="shared" si="117"/>
        <v>#DIV/0!</v>
      </c>
      <c r="CM62" s="156" t="e">
        <f t="shared" si="118"/>
        <v>#DIV/0!</v>
      </c>
      <c r="CN62" s="156" t="e">
        <f t="shared" si="119"/>
        <v>#DIV/0!</v>
      </c>
      <c r="CO62" s="156" t="e">
        <f t="shared" si="120"/>
        <v>#DIV/0!</v>
      </c>
      <c r="CP62" s="156" t="e">
        <f t="shared" si="121"/>
        <v>#DIV/0!</v>
      </c>
      <c r="CQ62" s="156" t="e">
        <f t="shared" si="122"/>
        <v>#DIV/0!</v>
      </c>
      <c r="CR62" s="18" t="e">
        <f t="shared" si="123"/>
        <v>#DIV/0!</v>
      </c>
      <c r="CS62" s="18" t="e">
        <f t="shared" si="124"/>
        <v>#DIV/0!</v>
      </c>
      <c r="CT62" s="18" t="e">
        <f t="shared" si="125"/>
        <v>#DIV/0!</v>
      </c>
      <c r="CU62" s="18" t="e">
        <f t="shared" si="126"/>
        <v>#DIV/0!</v>
      </c>
      <c r="CV62" s="18" t="e">
        <f t="shared" si="127"/>
        <v>#DIV/0!</v>
      </c>
      <c r="CW62" s="18" t="e">
        <f t="shared" si="128"/>
        <v>#DIV/0!</v>
      </c>
      <c r="CX62" s="18" t="e">
        <f t="shared" si="129"/>
        <v>#DIV/0!</v>
      </c>
      <c r="CY62" s="18" t="e">
        <f t="shared" si="130"/>
        <v>#DIV/0!</v>
      </c>
      <c r="CZ62" s="18" t="e">
        <f t="shared" si="131"/>
        <v>#DIV/0!</v>
      </c>
      <c r="DA62" s="18" t="e">
        <f t="shared" si="132"/>
        <v>#DIV/0!</v>
      </c>
      <c r="DB62" s="18" t="e">
        <f t="shared" si="133"/>
        <v>#DIV/0!</v>
      </c>
      <c r="DC62" s="18" t="e">
        <f t="shared" si="134"/>
        <v>#DIV/0!</v>
      </c>
      <c r="DD62" s="18" t="e">
        <f t="shared" si="135"/>
        <v>#DIV/0!</v>
      </c>
      <c r="DE62" s="18" t="e">
        <f t="shared" si="136"/>
        <v>#DIV/0!</v>
      </c>
      <c r="DF62" s="18" t="e">
        <f t="shared" si="137"/>
        <v>#DIV/0!</v>
      </c>
      <c r="DG62" s="18" t="e">
        <f t="shared" si="138"/>
        <v>#DIV/0!</v>
      </c>
      <c r="DH62" s="18" t="e">
        <f t="shared" si="139"/>
        <v>#DIV/0!</v>
      </c>
      <c r="DI62" s="18" t="e">
        <f t="shared" si="140"/>
        <v>#DIV/0!</v>
      </c>
      <c r="DJ62" s="18" t="e">
        <f t="shared" si="141"/>
        <v>#DIV/0!</v>
      </c>
      <c r="DK62" s="18" t="e">
        <f t="shared" si="142"/>
        <v>#DIV/0!</v>
      </c>
    </row>
    <row r="63" spans="1:115" ht="12.75">
      <c r="A63" s="3" t="s">
        <v>262</v>
      </c>
      <c r="B63" s="60">
        <f>B7+B8+B17</f>
        <v>0</v>
      </c>
      <c r="C63" s="60">
        <f aca="true" t="shared" si="147" ref="C63:BN63">C7+C8+C17</f>
        <v>0</v>
      </c>
      <c r="D63" s="60">
        <f>(D7+D8+D17)/3</f>
        <v>0</v>
      </c>
      <c r="E63" s="60">
        <f>(E7+E8+E17)/3</f>
        <v>0</v>
      </c>
      <c r="F63" s="60">
        <f>(F7+F8+F17)/3</f>
        <v>10</v>
      </c>
      <c r="G63" s="18" t="e">
        <f t="shared" si="147"/>
        <v>#DIV/0!</v>
      </c>
      <c r="H63" s="18" t="e">
        <f t="shared" si="147"/>
        <v>#DIV/0!</v>
      </c>
      <c r="I63" s="18" t="e">
        <f t="shared" si="147"/>
        <v>#DIV/0!</v>
      </c>
      <c r="J63" s="18" t="e">
        <f t="shared" si="147"/>
        <v>#DIV/0!</v>
      </c>
      <c r="K63" s="18" t="e">
        <f t="shared" si="147"/>
        <v>#DIV/0!</v>
      </c>
      <c r="L63" s="18" t="e">
        <f t="shared" si="147"/>
        <v>#DIV/0!</v>
      </c>
      <c r="M63" s="18" t="e">
        <f t="shared" si="147"/>
        <v>#DIV/0!</v>
      </c>
      <c r="N63" s="18" t="e">
        <f t="shared" si="147"/>
        <v>#DIV/0!</v>
      </c>
      <c r="O63" s="18" t="e">
        <f t="shared" si="147"/>
        <v>#DIV/0!</v>
      </c>
      <c r="P63" s="18" t="e">
        <f t="shared" si="147"/>
        <v>#DIV/0!</v>
      </c>
      <c r="Q63" s="18" t="e">
        <f t="shared" si="147"/>
        <v>#DIV/0!</v>
      </c>
      <c r="R63" s="18" t="e">
        <f t="shared" si="147"/>
        <v>#DIV/0!</v>
      </c>
      <c r="S63" s="18" t="e">
        <f t="shared" si="147"/>
        <v>#DIV/0!</v>
      </c>
      <c r="T63" s="18" t="e">
        <f t="shared" si="147"/>
        <v>#DIV/0!</v>
      </c>
      <c r="U63" s="18" t="e">
        <f t="shared" si="147"/>
        <v>#DIV/0!</v>
      </c>
      <c r="V63" s="18" t="e">
        <f t="shared" si="147"/>
        <v>#DIV/0!</v>
      </c>
      <c r="W63" s="18" t="e">
        <f t="shared" si="147"/>
        <v>#DIV/0!</v>
      </c>
      <c r="X63" s="18" t="e">
        <f t="shared" si="147"/>
        <v>#DIV/0!</v>
      </c>
      <c r="Y63" s="18" t="e">
        <f t="shared" si="147"/>
        <v>#DIV/0!</v>
      </c>
      <c r="Z63" s="18" t="e">
        <f t="shared" si="147"/>
        <v>#DIV/0!</v>
      </c>
      <c r="AA63" s="18" t="e">
        <f t="shared" si="147"/>
        <v>#DIV/0!</v>
      </c>
      <c r="AB63" s="18" t="e">
        <f t="shared" si="147"/>
        <v>#DIV/0!</v>
      </c>
      <c r="AC63" s="18" t="e">
        <f t="shared" si="147"/>
        <v>#DIV/0!</v>
      </c>
      <c r="AD63" s="18" t="e">
        <f t="shared" si="147"/>
        <v>#DIV/0!</v>
      </c>
      <c r="AE63" s="18" t="e">
        <f t="shared" si="147"/>
        <v>#DIV/0!</v>
      </c>
      <c r="AF63" s="18" t="e">
        <f t="shared" si="147"/>
        <v>#DIV/0!</v>
      </c>
      <c r="AG63" s="18" t="e">
        <f t="shared" si="147"/>
        <v>#DIV/0!</v>
      </c>
      <c r="AH63" s="18" t="e">
        <f t="shared" si="147"/>
        <v>#DIV/0!</v>
      </c>
      <c r="AI63" s="18" t="e">
        <f t="shared" si="147"/>
        <v>#DIV/0!</v>
      </c>
      <c r="AJ63" s="18" t="e">
        <f t="shared" si="147"/>
        <v>#DIV/0!</v>
      </c>
      <c r="AK63" s="18" t="e">
        <f t="shared" si="147"/>
        <v>#DIV/0!</v>
      </c>
      <c r="AL63" s="18" t="e">
        <f t="shared" si="147"/>
        <v>#DIV/0!</v>
      </c>
      <c r="AM63" s="18" t="e">
        <f t="shared" si="147"/>
        <v>#DIV/0!</v>
      </c>
      <c r="AN63" s="18" t="e">
        <f t="shared" si="147"/>
        <v>#DIV/0!</v>
      </c>
      <c r="AO63" s="18" t="e">
        <f t="shared" si="147"/>
        <v>#DIV/0!</v>
      </c>
      <c r="AP63" s="18" t="e">
        <f t="shared" si="147"/>
        <v>#DIV/0!</v>
      </c>
      <c r="AQ63" s="18" t="e">
        <f t="shared" si="147"/>
        <v>#DIV/0!</v>
      </c>
      <c r="AR63" s="18" t="e">
        <f t="shared" si="147"/>
        <v>#DIV/0!</v>
      </c>
      <c r="AS63" s="18" t="e">
        <f t="shared" si="147"/>
        <v>#DIV/0!</v>
      </c>
      <c r="AT63" s="18" t="e">
        <f t="shared" si="147"/>
        <v>#DIV/0!</v>
      </c>
      <c r="AU63" s="18" t="e">
        <f t="shared" si="147"/>
        <v>#DIV/0!</v>
      </c>
      <c r="AV63" s="18" t="e">
        <f t="shared" si="147"/>
        <v>#DIV/0!</v>
      </c>
      <c r="AW63" s="18" t="e">
        <f t="shared" si="147"/>
        <v>#DIV/0!</v>
      </c>
      <c r="AX63" s="18" t="e">
        <f t="shared" si="147"/>
        <v>#DIV/0!</v>
      </c>
      <c r="AY63" s="18" t="e">
        <f t="shared" si="147"/>
        <v>#DIV/0!</v>
      </c>
      <c r="AZ63" s="18" t="e">
        <f t="shared" si="147"/>
        <v>#DIV/0!</v>
      </c>
      <c r="BA63" s="18" t="e">
        <f t="shared" si="147"/>
        <v>#DIV/0!</v>
      </c>
      <c r="BB63" s="18" t="e">
        <f t="shared" si="147"/>
        <v>#DIV/0!</v>
      </c>
      <c r="BC63" s="18" t="e">
        <f t="shared" si="147"/>
        <v>#DIV/0!</v>
      </c>
      <c r="BD63" s="18" t="e">
        <f t="shared" si="147"/>
        <v>#DIV/0!</v>
      </c>
      <c r="BE63" s="18" t="e">
        <f t="shared" si="147"/>
        <v>#DIV/0!</v>
      </c>
      <c r="BF63" s="18" t="e">
        <f t="shared" si="147"/>
        <v>#DIV/0!</v>
      </c>
      <c r="BG63" s="18" t="e">
        <f t="shared" si="147"/>
        <v>#DIV/0!</v>
      </c>
      <c r="BH63" s="18" t="e">
        <f t="shared" si="147"/>
        <v>#DIV/0!</v>
      </c>
      <c r="BI63" s="18" t="e">
        <f t="shared" si="147"/>
        <v>#DIV/0!</v>
      </c>
      <c r="BJ63" s="18" t="e">
        <f t="shared" si="147"/>
        <v>#DIV/0!</v>
      </c>
      <c r="BK63" s="18" t="e">
        <f t="shared" si="147"/>
        <v>#DIV/0!</v>
      </c>
      <c r="BL63" s="18" t="e">
        <f t="shared" si="147"/>
        <v>#DIV/0!</v>
      </c>
      <c r="BM63" s="18" t="e">
        <f t="shared" si="147"/>
        <v>#DIV/0!</v>
      </c>
      <c r="BN63" s="18" t="e">
        <f t="shared" si="147"/>
        <v>#DIV/0!</v>
      </c>
      <c r="BO63" s="18" t="e">
        <f aca="true" t="shared" si="148" ref="BO63:CI63">BO7+BO8+BO17</f>
        <v>#DIV/0!</v>
      </c>
      <c r="BP63" s="18" t="e">
        <f t="shared" si="148"/>
        <v>#DIV/0!</v>
      </c>
      <c r="BQ63" s="18" t="e">
        <f t="shared" si="148"/>
        <v>#DIV/0!</v>
      </c>
      <c r="BR63" s="18" t="e">
        <f t="shared" si="148"/>
        <v>#DIV/0!</v>
      </c>
      <c r="BS63" s="18" t="e">
        <f t="shared" si="148"/>
        <v>#DIV/0!</v>
      </c>
      <c r="BT63" s="18" t="e">
        <f t="shared" si="148"/>
        <v>#DIV/0!</v>
      </c>
      <c r="BU63" s="18" t="e">
        <f t="shared" si="148"/>
        <v>#DIV/0!</v>
      </c>
      <c r="BV63" s="18" t="e">
        <f t="shared" si="148"/>
        <v>#DIV/0!</v>
      </c>
      <c r="BW63" s="18" t="e">
        <f t="shared" si="148"/>
        <v>#DIV/0!</v>
      </c>
      <c r="BX63" s="18" t="e">
        <f t="shared" si="148"/>
        <v>#DIV/0!</v>
      </c>
      <c r="BY63" s="18" t="e">
        <f t="shared" si="148"/>
        <v>#DIV/0!</v>
      </c>
      <c r="BZ63" s="18" t="e">
        <f t="shared" si="148"/>
        <v>#DIV/0!</v>
      </c>
      <c r="CA63" s="18" t="e">
        <f t="shared" si="148"/>
        <v>#DIV/0!</v>
      </c>
      <c r="CB63" s="18" t="e">
        <f t="shared" si="148"/>
        <v>#DIV/0!</v>
      </c>
      <c r="CC63" s="18" t="e">
        <f t="shared" si="148"/>
        <v>#DIV/0!</v>
      </c>
      <c r="CD63" s="18" t="e">
        <f t="shared" si="148"/>
        <v>#DIV/0!</v>
      </c>
      <c r="CE63" s="18" t="e">
        <f t="shared" si="148"/>
        <v>#DIV/0!</v>
      </c>
      <c r="CF63" s="18" t="e">
        <f t="shared" si="148"/>
        <v>#DIV/0!</v>
      </c>
      <c r="CG63" s="18" t="e">
        <f t="shared" si="148"/>
        <v>#DIV/0!</v>
      </c>
      <c r="CH63" s="18" t="e">
        <f t="shared" si="148"/>
        <v>#DIV/0!</v>
      </c>
      <c r="CI63" s="18" t="e">
        <f t="shared" si="148"/>
        <v>#DIV/0!</v>
      </c>
      <c r="CJ63" s="156" t="e">
        <f t="shared" si="115"/>
        <v>#DIV/0!</v>
      </c>
      <c r="CK63" s="156" t="e">
        <f t="shared" si="116"/>
        <v>#DIV/0!</v>
      </c>
      <c r="CL63" s="156" t="e">
        <f t="shared" si="117"/>
        <v>#DIV/0!</v>
      </c>
      <c r="CM63" s="156" t="e">
        <f t="shared" si="118"/>
        <v>#DIV/0!</v>
      </c>
      <c r="CN63" s="156" t="e">
        <f t="shared" si="119"/>
        <v>#DIV/0!</v>
      </c>
      <c r="CO63" s="156" t="e">
        <f t="shared" si="120"/>
        <v>#DIV/0!</v>
      </c>
      <c r="CP63" s="156" t="e">
        <f t="shared" si="121"/>
        <v>#DIV/0!</v>
      </c>
      <c r="CQ63" s="156" t="e">
        <f t="shared" si="122"/>
        <v>#DIV/0!</v>
      </c>
      <c r="CR63" s="18" t="e">
        <f t="shared" si="123"/>
        <v>#DIV/0!</v>
      </c>
      <c r="CS63" s="18" t="e">
        <f t="shared" si="124"/>
        <v>#DIV/0!</v>
      </c>
      <c r="CT63" s="18" t="e">
        <f t="shared" si="125"/>
        <v>#DIV/0!</v>
      </c>
      <c r="CU63" s="18" t="e">
        <f t="shared" si="126"/>
        <v>#DIV/0!</v>
      </c>
      <c r="CV63" s="18" t="e">
        <f t="shared" si="127"/>
        <v>#DIV/0!</v>
      </c>
      <c r="CW63" s="18" t="e">
        <f t="shared" si="128"/>
        <v>#DIV/0!</v>
      </c>
      <c r="CX63" s="18" t="e">
        <f t="shared" si="129"/>
        <v>#DIV/0!</v>
      </c>
      <c r="CY63" s="18" t="e">
        <f t="shared" si="130"/>
        <v>#DIV/0!</v>
      </c>
      <c r="CZ63" s="18" t="e">
        <f t="shared" si="131"/>
        <v>#DIV/0!</v>
      </c>
      <c r="DA63" s="18" t="e">
        <f t="shared" si="132"/>
        <v>#DIV/0!</v>
      </c>
      <c r="DB63" s="18" t="e">
        <f t="shared" si="133"/>
        <v>#DIV/0!</v>
      </c>
      <c r="DC63" s="18" t="e">
        <f t="shared" si="134"/>
        <v>#DIV/0!</v>
      </c>
      <c r="DD63" s="18" t="e">
        <f t="shared" si="135"/>
        <v>#DIV/0!</v>
      </c>
      <c r="DE63" s="18" t="e">
        <f t="shared" si="136"/>
        <v>#DIV/0!</v>
      </c>
      <c r="DF63" s="18" t="e">
        <f t="shared" si="137"/>
        <v>#DIV/0!</v>
      </c>
      <c r="DG63" s="18" t="e">
        <f t="shared" si="138"/>
        <v>#DIV/0!</v>
      </c>
      <c r="DH63" s="18" t="e">
        <f t="shared" si="139"/>
        <v>#DIV/0!</v>
      </c>
      <c r="DI63" s="18" t="e">
        <f t="shared" si="140"/>
        <v>#DIV/0!</v>
      </c>
      <c r="DJ63" s="18" t="e">
        <f t="shared" si="141"/>
        <v>#DIV/0!</v>
      </c>
      <c r="DK63" s="18" t="e">
        <f t="shared" si="142"/>
        <v>#DIV/0!</v>
      </c>
    </row>
    <row r="64" spans="1:115" ht="12.75">
      <c r="A64" s="3" t="s">
        <v>263</v>
      </c>
      <c r="B64" s="60">
        <f>B3+B5+B6+B12+B13+B14+B15+B16+B18+B23+B28+B29+B30+B31</f>
        <v>0</v>
      </c>
      <c r="C64" s="60">
        <f>C3+C5+C6+C12+C13+C14+C15+C16+C18+C23+C28+C29+C30+C31</f>
        <v>0</v>
      </c>
      <c r="D64" s="60">
        <f>(D3+D5+D6+D12+D13+D14+D15+D16+D18+D23+D28+D29+D30+D31)/14</f>
        <v>0</v>
      </c>
      <c r="E64" s="60">
        <f>(E3+E5+E6+E12+E13+E14+E15+E16+E18+E23+E28+E29+E30+E31)/14</f>
        <v>0</v>
      </c>
      <c r="F64" s="60">
        <f>(F3+F5+F6+F12+F13+F14+F15+F16+F18+F23+F28+F29+F30+F31)/14</f>
        <v>9.928571428571429</v>
      </c>
      <c r="G64" s="18" t="e">
        <f>G3+G5+G6+G12+G13+G14+G15+G16+G18+G23+G28+G29+G30+G31</f>
        <v>#DIV/0!</v>
      </c>
      <c r="H64" s="18" t="e">
        <f aca="true" t="shared" si="149" ref="H64:BS64">H3+H5+H6+H12+H13+H14+H15+H16+H18+H23+H28+H29+H30+H31</f>
        <v>#DIV/0!</v>
      </c>
      <c r="I64" s="18" t="e">
        <f t="shared" si="149"/>
        <v>#DIV/0!</v>
      </c>
      <c r="J64" s="18" t="e">
        <f t="shared" si="149"/>
        <v>#DIV/0!</v>
      </c>
      <c r="K64" s="18" t="e">
        <f t="shared" si="149"/>
        <v>#DIV/0!</v>
      </c>
      <c r="L64" s="18" t="e">
        <f t="shared" si="149"/>
        <v>#DIV/0!</v>
      </c>
      <c r="M64" s="18" t="e">
        <f t="shared" si="149"/>
        <v>#DIV/0!</v>
      </c>
      <c r="N64" s="18" t="e">
        <f t="shared" si="149"/>
        <v>#DIV/0!</v>
      </c>
      <c r="O64" s="18" t="e">
        <f t="shared" si="149"/>
        <v>#DIV/0!</v>
      </c>
      <c r="P64" s="18" t="e">
        <f t="shared" si="149"/>
        <v>#DIV/0!</v>
      </c>
      <c r="Q64" s="18" t="e">
        <f t="shared" si="149"/>
        <v>#DIV/0!</v>
      </c>
      <c r="R64" s="18" t="e">
        <f t="shared" si="149"/>
        <v>#DIV/0!</v>
      </c>
      <c r="S64" s="18" t="e">
        <f t="shared" si="149"/>
        <v>#DIV/0!</v>
      </c>
      <c r="T64" s="18" t="e">
        <f t="shared" si="149"/>
        <v>#DIV/0!</v>
      </c>
      <c r="U64" s="18" t="e">
        <f t="shared" si="149"/>
        <v>#DIV/0!</v>
      </c>
      <c r="V64" s="18" t="e">
        <f t="shared" si="149"/>
        <v>#DIV/0!</v>
      </c>
      <c r="W64" s="18" t="e">
        <f t="shared" si="149"/>
        <v>#DIV/0!</v>
      </c>
      <c r="X64" s="18" t="e">
        <f t="shared" si="149"/>
        <v>#DIV/0!</v>
      </c>
      <c r="Y64" s="18" t="e">
        <f t="shared" si="149"/>
        <v>#DIV/0!</v>
      </c>
      <c r="Z64" s="18" t="e">
        <f t="shared" si="149"/>
        <v>#DIV/0!</v>
      </c>
      <c r="AA64" s="18" t="e">
        <f t="shared" si="149"/>
        <v>#DIV/0!</v>
      </c>
      <c r="AB64" s="18" t="e">
        <f t="shared" si="149"/>
        <v>#DIV/0!</v>
      </c>
      <c r="AC64" s="18" t="e">
        <f t="shared" si="149"/>
        <v>#DIV/0!</v>
      </c>
      <c r="AD64" s="18" t="e">
        <f t="shared" si="149"/>
        <v>#DIV/0!</v>
      </c>
      <c r="AE64" s="18" t="e">
        <f t="shared" si="149"/>
        <v>#DIV/0!</v>
      </c>
      <c r="AF64" s="18" t="e">
        <f t="shared" si="149"/>
        <v>#DIV/0!</v>
      </c>
      <c r="AG64" s="18" t="e">
        <f t="shared" si="149"/>
        <v>#DIV/0!</v>
      </c>
      <c r="AH64" s="18" t="e">
        <f t="shared" si="149"/>
        <v>#DIV/0!</v>
      </c>
      <c r="AI64" s="18" t="e">
        <f t="shared" si="149"/>
        <v>#DIV/0!</v>
      </c>
      <c r="AJ64" s="18" t="e">
        <f t="shared" si="149"/>
        <v>#DIV/0!</v>
      </c>
      <c r="AK64" s="18" t="e">
        <f t="shared" si="149"/>
        <v>#DIV/0!</v>
      </c>
      <c r="AL64" s="18" t="e">
        <f t="shared" si="149"/>
        <v>#DIV/0!</v>
      </c>
      <c r="AM64" s="18" t="e">
        <f t="shared" si="149"/>
        <v>#DIV/0!</v>
      </c>
      <c r="AN64" s="18" t="e">
        <f t="shared" si="149"/>
        <v>#DIV/0!</v>
      </c>
      <c r="AO64" s="18" t="e">
        <f t="shared" si="149"/>
        <v>#DIV/0!</v>
      </c>
      <c r="AP64" s="18" t="e">
        <f t="shared" si="149"/>
        <v>#DIV/0!</v>
      </c>
      <c r="AQ64" s="18" t="e">
        <f t="shared" si="149"/>
        <v>#DIV/0!</v>
      </c>
      <c r="AR64" s="18" t="e">
        <f t="shared" si="149"/>
        <v>#DIV/0!</v>
      </c>
      <c r="AS64" s="18" t="e">
        <f t="shared" si="149"/>
        <v>#DIV/0!</v>
      </c>
      <c r="AT64" s="18" t="e">
        <f t="shared" si="149"/>
        <v>#DIV/0!</v>
      </c>
      <c r="AU64" s="18" t="e">
        <f t="shared" si="149"/>
        <v>#DIV/0!</v>
      </c>
      <c r="AV64" s="18" t="e">
        <f t="shared" si="149"/>
        <v>#DIV/0!</v>
      </c>
      <c r="AW64" s="18" t="e">
        <f t="shared" si="149"/>
        <v>#DIV/0!</v>
      </c>
      <c r="AX64" s="18" t="e">
        <f t="shared" si="149"/>
        <v>#DIV/0!</v>
      </c>
      <c r="AY64" s="18" t="e">
        <f t="shared" si="149"/>
        <v>#DIV/0!</v>
      </c>
      <c r="AZ64" s="18" t="e">
        <f t="shared" si="149"/>
        <v>#DIV/0!</v>
      </c>
      <c r="BA64" s="18" t="e">
        <f t="shared" si="149"/>
        <v>#DIV/0!</v>
      </c>
      <c r="BB64" s="18" t="e">
        <f t="shared" si="149"/>
        <v>#DIV/0!</v>
      </c>
      <c r="BC64" s="18" t="e">
        <f t="shared" si="149"/>
        <v>#DIV/0!</v>
      </c>
      <c r="BD64" s="18" t="e">
        <f t="shared" si="149"/>
        <v>#DIV/0!</v>
      </c>
      <c r="BE64" s="18" t="e">
        <f t="shared" si="149"/>
        <v>#DIV/0!</v>
      </c>
      <c r="BF64" s="18" t="e">
        <f t="shared" si="149"/>
        <v>#DIV/0!</v>
      </c>
      <c r="BG64" s="18" t="e">
        <f t="shared" si="149"/>
        <v>#DIV/0!</v>
      </c>
      <c r="BH64" s="18" t="e">
        <f t="shared" si="149"/>
        <v>#DIV/0!</v>
      </c>
      <c r="BI64" s="18" t="e">
        <f t="shared" si="149"/>
        <v>#DIV/0!</v>
      </c>
      <c r="BJ64" s="18" t="e">
        <f t="shared" si="149"/>
        <v>#DIV/0!</v>
      </c>
      <c r="BK64" s="18" t="e">
        <f t="shared" si="149"/>
        <v>#DIV/0!</v>
      </c>
      <c r="BL64" s="18" t="e">
        <f t="shared" si="149"/>
        <v>#DIV/0!</v>
      </c>
      <c r="BM64" s="18" t="e">
        <f t="shared" si="149"/>
        <v>#DIV/0!</v>
      </c>
      <c r="BN64" s="18" t="e">
        <f t="shared" si="149"/>
        <v>#DIV/0!</v>
      </c>
      <c r="BO64" s="18" t="e">
        <f t="shared" si="149"/>
        <v>#DIV/0!</v>
      </c>
      <c r="BP64" s="18" t="e">
        <f t="shared" si="149"/>
        <v>#DIV/0!</v>
      </c>
      <c r="BQ64" s="18" t="e">
        <f t="shared" si="149"/>
        <v>#DIV/0!</v>
      </c>
      <c r="BR64" s="18" t="e">
        <f t="shared" si="149"/>
        <v>#DIV/0!</v>
      </c>
      <c r="BS64" s="18" t="e">
        <f t="shared" si="149"/>
        <v>#DIV/0!</v>
      </c>
      <c r="BT64" s="18" t="e">
        <f aca="true" t="shared" si="150" ref="BT64:CI64">BT3+BT5+BT6+BT12+BT13+BT14+BT15+BT16+BT18+BT23+BT28+BT29+BT30+BT31</f>
        <v>#DIV/0!</v>
      </c>
      <c r="BU64" s="18" t="e">
        <f t="shared" si="150"/>
        <v>#DIV/0!</v>
      </c>
      <c r="BV64" s="18" t="e">
        <f t="shared" si="150"/>
        <v>#DIV/0!</v>
      </c>
      <c r="BW64" s="18" t="e">
        <f t="shared" si="150"/>
        <v>#DIV/0!</v>
      </c>
      <c r="BX64" s="18" t="e">
        <f t="shared" si="150"/>
        <v>#DIV/0!</v>
      </c>
      <c r="BY64" s="18" t="e">
        <f t="shared" si="150"/>
        <v>#DIV/0!</v>
      </c>
      <c r="BZ64" s="18" t="e">
        <f t="shared" si="150"/>
        <v>#DIV/0!</v>
      </c>
      <c r="CA64" s="18" t="e">
        <f t="shared" si="150"/>
        <v>#DIV/0!</v>
      </c>
      <c r="CB64" s="18" t="e">
        <f t="shared" si="150"/>
        <v>#DIV/0!</v>
      </c>
      <c r="CC64" s="18" t="e">
        <f t="shared" si="150"/>
        <v>#DIV/0!</v>
      </c>
      <c r="CD64" s="18" t="e">
        <f t="shared" si="150"/>
        <v>#DIV/0!</v>
      </c>
      <c r="CE64" s="18" t="e">
        <f t="shared" si="150"/>
        <v>#DIV/0!</v>
      </c>
      <c r="CF64" s="18" t="e">
        <f t="shared" si="150"/>
        <v>#DIV/0!</v>
      </c>
      <c r="CG64" s="18" t="e">
        <f t="shared" si="150"/>
        <v>#DIV/0!</v>
      </c>
      <c r="CH64" s="18" t="e">
        <f t="shared" si="150"/>
        <v>#DIV/0!</v>
      </c>
      <c r="CI64" s="18" t="e">
        <f t="shared" si="150"/>
        <v>#DIV/0!</v>
      </c>
      <c r="CJ64" s="156" t="e">
        <f t="shared" si="115"/>
        <v>#DIV/0!</v>
      </c>
      <c r="CK64" s="156" t="e">
        <f t="shared" si="116"/>
        <v>#DIV/0!</v>
      </c>
      <c r="CL64" s="156" t="e">
        <f t="shared" si="117"/>
        <v>#DIV/0!</v>
      </c>
      <c r="CM64" s="156" t="e">
        <f t="shared" si="118"/>
        <v>#DIV/0!</v>
      </c>
      <c r="CN64" s="156" t="e">
        <f t="shared" si="119"/>
        <v>#DIV/0!</v>
      </c>
      <c r="CO64" s="156" t="e">
        <f t="shared" si="120"/>
        <v>#DIV/0!</v>
      </c>
      <c r="CP64" s="156" t="e">
        <f t="shared" si="121"/>
        <v>#DIV/0!</v>
      </c>
      <c r="CQ64" s="156" t="e">
        <f t="shared" si="122"/>
        <v>#DIV/0!</v>
      </c>
      <c r="CR64" s="18" t="e">
        <f t="shared" si="123"/>
        <v>#DIV/0!</v>
      </c>
      <c r="CS64" s="18" t="e">
        <f t="shared" si="124"/>
        <v>#DIV/0!</v>
      </c>
      <c r="CT64" s="18" t="e">
        <f t="shared" si="125"/>
        <v>#DIV/0!</v>
      </c>
      <c r="CU64" s="18" t="e">
        <f t="shared" si="126"/>
        <v>#DIV/0!</v>
      </c>
      <c r="CV64" s="18" t="e">
        <f t="shared" si="127"/>
        <v>#DIV/0!</v>
      </c>
      <c r="CW64" s="18" t="e">
        <f t="shared" si="128"/>
        <v>#DIV/0!</v>
      </c>
      <c r="CX64" s="18" t="e">
        <f t="shared" si="129"/>
        <v>#DIV/0!</v>
      </c>
      <c r="CY64" s="18" t="e">
        <f t="shared" si="130"/>
        <v>#DIV/0!</v>
      </c>
      <c r="CZ64" s="18" t="e">
        <f t="shared" si="131"/>
        <v>#DIV/0!</v>
      </c>
      <c r="DA64" s="18" t="e">
        <f t="shared" si="132"/>
        <v>#DIV/0!</v>
      </c>
      <c r="DB64" s="18" t="e">
        <f t="shared" si="133"/>
        <v>#DIV/0!</v>
      </c>
      <c r="DC64" s="18" t="e">
        <f t="shared" si="134"/>
        <v>#DIV/0!</v>
      </c>
      <c r="DD64" s="18" t="e">
        <f t="shared" si="135"/>
        <v>#DIV/0!</v>
      </c>
      <c r="DE64" s="18" t="e">
        <f t="shared" si="136"/>
        <v>#DIV/0!</v>
      </c>
      <c r="DF64" s="18" t="e">
        <f t="shared" si="137"/>
        <v>#DIV/0!</v>
      </c>
      <c r="DG64" s="18" t="e">
        <f t="shared" si="138"/>
        <v>#DIV/0!</v>
      </c>
      <c r="DH64" s="18" t="e">
        <f t="shared" si="139"/>
        <v>#DIV/0!</v>
      </c>
      <c r="DI64" s="18" t="e">
        <f t="shared" si="140"/>
        <v>#DIV/0!</v>
      </c>
      <c r="DJ64" s="18" t="e">
        <f t="shared" si="141"/>
        <v>#DIV/0!</v>
      </c>
      <c r="DK64" s="18" t="e">
        <f t="shared" si="142"/>
        <v>#DIV/0!</v>
      </c>
    </row>
    <row r="65" spans="1:115" ht="12.75">
      <c r="A65" s="3" t="s">
        <v>250</v>
      </c>
      <c r="B65" s="60">
        <f>SUM(B60:B64)</f>
        <v>0</v>
      </c>
      <c r="C65" s="60">
        <f aca="true" t="shared" si="151" ref="C65:BN65">SUM(C60:C64)</f>
        <v>0</v>
      </c>
      <c r="D65" s="60">
        <f>MEDIAN(D60:D64)</f>
        <v>0</v>
      </c>
      <c r="E65" s="60">
        <f>MEDIAN(E60:E64)</f>
        <v>0</v>
      </c>
      <c r="F65" s="60">
        <f>MEDIAN(F60:F64)</f>
        <v>10</v>
      </c>
      <c r="G65" s="18" t="e">
        <f t="shared" si="151"/>
        <v>#DIV/0!</v>
      </c>
      <c r="H65" s="18" t="e">
        <f t="shared" si="151"/>
        <v>#DIV/0!</v>
      </c>
      <c r="I65" s="18" t="e">
        <f t="shared" si="151"/>
        <v>#DIV/0!</v>
      </c>
      <c r="J65" s="18" t="e">
        <f t="shared" si="151"/>
        <v>#DIV/0!</v>
      </c>
      <c r="K65" s="18" t="e">
        <f t="shared" si="151"/>
        <v>#DIV/0!</v>
      </c>
      <c r="L65" s="18" t="e">
        <f t="shared" si="151"/>
        <v>#DIV/0!</v>
      </c>
      <c r="M65" s="18" t="e">
        <f t="shared" si="151"/>
        <v>#DIV/0!</v>
      </c>
      <c r="N65" s="18" t="e">
        <f t="shared" si="151"/>
        <v>#DIV/0!</v>
      </c>
      <c r="O65" s="18" t="e">
        <f t="shared" si="151"/>
        <v>#DIV/0!</v>
      </c>
      <c r="P65" s="18" t="e">
        <f t="shared" si="151"/>
        <v>#DIV/0!</v>
      </c>
      <c r="Q65" s="18" t="e">
        <f t="shared" si="151"/>
        <v>#DIV/0!</v>
      </c>
      <c r="R65" s="18" t="e">
        <f t="shared" si="151"/>
        <v>#DIV/0!</v>
      </c>
      <c r="S65" s="18" t="e">
        <f t="shared" si="151"/>
        <v>#DIV/0!</v>
      </c>
      <c r="T65" s="18" t="e">
        <f t="shared" si="151"/>
        <v>#DIV/0!</v>
      </c>
      <c r="U65" s="18" t="e">
        <f t="shared" si="151"/>
        <v>#DIV/0!</v>
      </c>
      <c r="V65" s="18" t="e">
        <f t="shared" si="151"/>
        <v>#DIV/0!</v>
      </c>
      <c r="W65" s="18" t="e">
        <f t="shared" si="151"/>
        <v>#DIV/0!</v>
      </c>
      <c r="X65" s="18" t="e">
        <f t="shared" si="151"/>
        <v>#DIV/0!</v>
      </c>
      <c r="Y65" s="18" t="e">
        <f t="shared" si="151"/>
        <v>#DIV/0!</v>
      </c>
      <c r="Z65" s="18" t="e">
        <f t="shared" si="151"/>
        <v>#DIV/0!</v>
      </c>
      <c r="AA65" s="18" t="e">
        <f t="shared" si="151"/>
        <v>#DIV/0!</v>
      </c>
      <c r="AB65" s="18" t="e">
        <f t="shared" si="151"/>
        <v>#DIV/0!</v>
      </c>
      <c r="AC65" s="18" t="e">
        <f t="shared" si="151"/>
        <v>#DIV/0!</v>
      </c>
      <c r="AD65" s="18" t="e">
        <f t="shared" si="151"/>
        <v>#DIV/0!</v>
      </c>
      <c r="AE65" s="18" t="e">
        <f t="shared" si="151"/>
        <v>#DIV/0!</v>
      </c>
      <c r="AF65" s="18" t="e">
        <f t="shared" si="151"/>
        <v>#DIV/0!</v>
      </c>
      <c r="AG65" s="18" t="e">
        <f t="shared" si="151"/>
        <v>#DIV/0!</v>
      </c>
      <c r="AH65" s="18" t="e">
        <f t="shared" si="151"/>
        <v>#DIV/0!</v>
      </c>
      <c r="AI65" s="18" t="e">
        <f t="shared" si="151"/>
        <v>#DIV/0!</v>
      </c>
      <c r="AJ65" s="18" t="e">
        <f t="shared" si="151"/>
        <v>#DIV/0!</v>
      </c>
      <c r="AK65" s="18" t="e">
        <f t="shared" si="151"/>
        <v>#DIV/0!</v>
      </c>
      <c r="AL65" s="18" t="e">
        <f t="shared" si="151"/>
        <v>#DIV/0!</v>
      </c>
      <c r="AM65" s="18" t="e">
        <f t="shared" si="151"/>
        <v>#DIV/0!</v>
      </c>
      <c r="AN65" s="18" t="e">
        <f t="shared" si="151"/>
        <v>#DIV/0!</v>
      </c>
      <c r="AO65" s="18" t="e">
        <f t="shared" si="151"/>
        <v>#DIV/0!</v>
      </c>
      <c r="AP65" s="18" t="e">
        <f t="shared" si="151"/>
        <v>#DIV/0!</v>
      </c>
      <c r="AQ65" s="18" t="e">
        <f t="shared" si="151"/>
        <v>#DIV/0!</v>
      </c>
      <c r="AR65" s="18" t="e">
        <f t="shared" si="151"/>
        <v>#DIV/0!</v>
      </c>
      <c r="AS65" s="18" t="e">
        <f t="shared" si="151"/>
        <v>#DIV/0!</v>
      </c>
      <c r="AT65" s="18" t="e">
        <f t="shared" si="151"/>
        <v>#DIV/0!</v>
      </c>
      <c r="AU65" s="18" t="e">
        <f t="shared" si="151"/>
        <v>#DIV/0!</v>
      </c>
      <c r="AV65" s="18" t="e">
        <f t="shared" si="151"/>
        <v>#DIV/0!</v>
      </c>
      <c r="AW65" s="18" t="e">
        <f t="shared" si="151"/>
        <v>#DIV/0!</v>
      </c>
      <c r="AX65" s="18" t="e">
        <f t="shared" si="151"/>
        <v>#DIV/0!</v>
      </c>
      <c r="AY65" s="18" t="e">
        <f t="shared" si="151"/>
        <v>#DIV/0!</v>
      </c>
      <c r="AZ65" s="18" t="e">
        <f t="shared" si="151"/>
        <v>#DIV/0!</v>
      </c>
      <c r="BA65" s="18" t="e">
        <f t="shared" si="151"/>
        <v>#DIV/0!</v>
      </c>
      <c r="BB65" s="18" t="e">
        <f t="shared" si="151"/>
        <v>#DIV/0!</v>
      </c>
      <c r="BC65" s="18" t="e">
        <f t="shared" si="151"/>
        <v>#DIV/0!</v>
      </c>
      <c r="BD65" s="18" t="e">
        <f t="shared" si="151"/>
        <v>#DIV/0!</v>
      </c>
      <c r="BE65" s="18" t="e">
        <f t="shared" si="151"/>
        <v>#DIV/0!</v>
      </c>
      <c r="BF65" s="18" t="e">
        <f t="shared" si="151"/>
        <v>#DIV/0!</v>
      </c>
      <c r="BG65" s="18" t="e">
        <f t="shared" si="151"/>
        <v>#DIV/0!</v>
      </c>
      <c r="BH65" s="18" t="e">
        <f t="shared" si="151"/>
        <v>#DIV/0!</v>
      </c>
      <c r="BI65" s="18" t="e">
        <f t="shared" si="151"/>
        <v>#DIV/0!</v>
      </c>
      <c r="BJ65" s="18" t="e">
        <f t="shared" si="151"/>
        <v>#DIV/0!</v>
      </c>
      <c r="BK65" s="18" t="e">
        <f t="shared" si="151"/>
        <v>#DIV/0!</v>
      </c>
      <c r="BL65" s="18" t="e">
        <f t="shared" si="151"/>
        <v>#DIV/0!</v>
      </c>
      <c r="BM65" s="18" t="e">
        <f t="shared" si="151"/>
        <v>#DIV/0!</v>
      </c>
      <c r="BN65" s="18" t="e">
        <f t="shared" si="151"/>
        <v>#DIV/0!</v>
      </c>
      <c r="BO65" s="18" t="e">
        <f aca="true" t="shared" si="152" ref="BO65:CI65">SUM(BO60:BO64)</f>
        <v>#DIV/0!</v>
      </c>
      <c r="BP65" s="18" t="e">
        <f t="shared" si="152"/>
        <v>#DIV/0!</v>
      </c>
      <c r="BQ65" s="18" t="e">
        <f t="shared" si="152"/>
        <v>#DIV/0!</v>
      </c>
      <c r="BR65" s="18" t="e">
        <f t="shared" si="152"/>
        <v>#DIV/0!</v>
      </c>
      <c r="BS65" s="18" t="e">
        <f t="shared" si="152"/>
        <v>#DIV/0!</v>
      </c>
      <c r="BT65" s="18" t="e">
        <f t="shared" si="152"/>
        <v>#DIV/0!</v>
      </c>
      <c r="BU65" s="18" t="e">
        <f t="shared" si="152"/>
        <v>#DIV/0!</v>
      </c>
      <c r="BV65" s="18" t="e">
        <f t="shared" si="152"/>
        <v>#DIV/0!</v>
      </c>
      <c r="BW65" s="18" t="e">
        <f t="shared" si="152"/>
        <v>#DIV/0!</v>
      </c>
      <c r="BX65" s="18" t="e">
        <f t="shared" si="152"/>
        <v>#DIV/0!</v>
      </c>
      <c r="BY65" s="18" t="e">
        <f t="shared" si="152"/>
        <v>#DIV/0!</v>
      </c>
      <c r="BZ65" s="18" t="e">
        <f t="shared" si="152"/>
        <v>#DIV/0!</v>
      </c>
      <c r="CA65" s="18" t="e">
        <f t="shared" si="152"/>
        <v>#DIV/0!</v>
      </c>
      <c r="CB65" s="18" t="e">
        <f t="shared" si="152"/>
        <v>#DIV/0!</v>
      </c>
      <c r="CC65" s="18" t="e">
        <f t="shared" si="152"/>
        <v>#DIV/0!</v>
      </c>
      <c r="CD65" s="18" t="e">
        <f t="shared" si="152"/>
        <v>#DIV/0!</v>
      </c>
      <c r="CE65" s="18" t="e">
        <f t="shared" si="152"/>
        <v>#DIV/0!</v>
      </c>
      <c r="CF65" s="18" t="e">
        <f t="shared" si="152"/>
        <v>#DIV/0!</v>
      </c>
      <c r="CG65" s="18" t="e">
        <f t="shared" si="152"/>
        <v>#DIV/0!</v>
      </c>
      <c r="CH65" s="18" t="e">
        <f t="shared" si="152"/>
        <v>#DIV/0!</v>
      </c>
      <c r="CI65" s="18" t="e">
        <f t="shared" si="152"/>
        <v>#DIV/0!</v>
      </c>
      <c r="CJ65" s="156" t="e">
        <f t="shared" si="115"/>
        <v>#DIV/0!</v>
      </c>
      <c r="CK65" s="156" t="e">
        <f t="shared" si="116"/>
        <v>#DIV/0!</v>
      </c>
      <c r="CL65" s="156" t="e">
        <f t="shared" si="117"/>
        <v>#DIV/0!</v>
      </c>
      <c r="CM65" s="156" t="e">
        <f t="shared" si="118"/>
        <v>#DIV/0!</v>
      </c>
      <c r="CN65" s="156" t="e">
        <f t="shared" si="119"/>
        <v>#DIV/0!</v>
      </c>
      <c r="CO65" s="156" t="e">
        <f t="shared" si="120"/>
        <v>#DIV/0!</v>
      </c>
      <c r="CP65" s="156" t="e">
        <f t="shared" si="121"/>
        <v>#DIV/0!</v>
      </c>
      <c r="CQ65" s="156" t="e">
        <f t="shared" si="122"/>
        <v>#DIV/0!</v>
      </c>
      <c r="CR65" s="18" t="e">
        <f t="shared" si="123"/>
        <v>#DIV/0!</v>
      </c>
      <c r="CS65" s="18" t="e">
        <f t="shared" si="124"/>
        <v>#DIV/0!</v>
      </c>
      <c r="CT65" s="18" t="e">
        <f t="shared" si="125"/>
        <v>#DIV/0!</v>
      </c>
      <c r="CU65" s="18" t="e">
        <f t="shared" si="126"/>
        <v>#DIV/0!</v>
      </c>
      <c r="CV65" s="18" t="e">
        <f t="shared" si="127"/>
        <v>#DIV/0!</v>
      </c>
      <c r="CW65" s="18" t="e">
        <f t="shared" si="128"/>
        <v>#DIV/0!</v>
      </c>
      <c r="CX65" s="18" t="e">
        <f t="shared" si="129"/>
        <v>#DIV/0!</v>
      </c>
      <c r="CY65" s="18" t="e">
        <f t="shared" si="130"/>
        <v>#DIV/0!</v>
      </c>
      <c r="CZ65" s="18" t="e">
        <f t="shared" si="131"/>
        <v>#DIV/0!</v>
      </c>
      <c r="DA65" s="18" t="e">
        <f t="shared" si="132"/>
        <v>#DIV/0!</v>
      </c>
      <c r="DB65" s="18" t="e">
        <f t="shared" si="133"/>
        <v>#DIV/0!</v>
      </c>
      <c r="DC65" s="18" t="e">
        <f t="shared" si="134"/>
        <v>#DIV/0!</v>
      </c>
      <c r="DD65" s="18" t="e">
        <f t="shared" si="135"/>
        <v>#DIV/0!</v>
      </c>
      <c r="DE65" s="18" t="e">
        <f t="shared" si="136"/>
        <v>#DIV/0!</v>
      </c>
      <c r="DF65" s="18" t="e">
        <f t="shared" si="137"/>
        <v>#DIV/0!</v>
      </c>
      <c r="DG65" s="18" t="e">
        <f t="shared" si="138"/>
        <v>#DIV/0!</v>
      </c>
      <c r="DH65" s="18" t="e">
        <f t="shared" si="139"/>
        <v>#DIV/0!</v>
      </c>
      <c r="DI65" s="18" t="e">
        <f t="shared" si="140"/>
        <v>#DIV/0!</v>
      </c>
      <c r="DJ65" s="18" t="e">
        <f t="shared" si="141"/>
        <v>#DIV/0!</v>
      </c>
      <c r="DK65" s="18" t="e">
        <f t="shared" si="142"/>
        <v>#DIV/0!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Bern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Lüthi</dc:creator>
  <cp:keywords/>
  <dc:description/>
  <cp:lastModifiedBy>ukundert</cp:lastModifiedBy>
  <cp:lastPrinted>2004-11-02T05:55:12Z</cp:lastPrinted>
  <dcterms:created xsi:type="dcterms:W3CDTF">1999-10-26T08:58:37Z</dcterms:created>
  <dcterms:modified xsi:type="dcterms:W3CDTF">2004-12-23T15:23:01Z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1186830694</vt:i4>
  </property>
  <property fmtid="{D5CDD505-2E9C-101B-9397-08002B2CF9AE}" pid="3" name="_EmailSubject">
    <vt:lpwstr>GEMEINDEFINANZRATING 2003</vt:lpwstr>
  </property>
  <property fmtid="{D5CDD505-2E9C-101B-9397-08002B2CF9AE}" pid="4" name="_AuthorEmail">
    <vt:lpwstr>Urs.Kundert@gl.ch</vt:lpwstr>
  </property>
  <property fmtid="{D5CDD505-2E9C-101B-9397-08002B2CF9AE}" pid="5" name="_AuthorEmailDisplayName">
    <vt:lpwstr>Kundert Urs DdI</vt:lpwstr>
  </property>
  <property fmtid="{D5CDD505-2E9C-101B-9397-08002B2CF9AE}" pid="6" name="_PreviousAdHocReviewCycleID">
    <vt:i4>-1851812092</vt:i4>
  </property>
</Properties>
</file>